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P&amp;L" sheetId="3" state="visible" r:id="rId3"/>
    <sheet xmlns:r="http://schemas.openxmlformats.org/officeDocument/2006/relationships" name="Cashflow&amp;Returns" sheetId="4" state="visible" r:id="rId4"/>
    <sheet xmlns:r="http://schemas.openxmlformats.org/officeDocument/2006/relationships" name="Sensitivity" sheetId="5" state="visible" r:id="rId5"/>
  </sheets>
  <definedNames>
    <definedName name="P1_MW">Assumptions!$C$7</definedName>
    <definedName name="P2_MW">Assumptions!$C$8</definedName>
    <definedName name="P3_MW">Assumptions!$C$9</definedName>
    <definedName name="Ultimate_MW">Assumptions!$C$10</definedName>
    <definedName name="P1_CAPEX">Assumptions!$C$13</definedName>
    <definedName name="P2_CAPEX">Assumptions!$C$14</definedName>
    <definedName name="P3_CAPEX">Assumptions!$C$15</definedName>
    <definedName name="Total_CAPEX">Assumptions!$C$16</definedName>
    <definedName name="Depr_Years">Assumptions!$C$18</definedName>
    <definedName name="Lease_Rate">Assumptions!$C$21</definedName>
    <definedName name="Util_Y1">Assumptions!$C$22</definedName>
    <definedName name="Util_Y2">Assumptions!$C$23</definedName>
    <definedName name="Util_Stab">Assumptions!$C$24</definedName>
    <definedName name="Escalator">Assumptions!$C$25</definedName>
    <definedName name="Energy_Cost">Assumptions!$C$28</definedName>
    <definedName name="PUE">Assumptions!$C$29</definedName>
    <definedName name="Load_Factor">Assumptions!$C$30</definedName>
    <definedName name="OM_Pct">Assumptions!$C$31</definedName>
    <definedName name="PropTax_Pct">Assumptions!$C$32</definedName>
    <definedName name="SGA_Pct">Assumptions!$C$33</definedName>
    <definedName name="Debt_Ratio">Assumptions!$C$36</definedName>
    <definedName name="Interest_Rate">Assumptions!$C$37</definedName>
    <definedName name="Debt_Tenor">Assumptions!$C$38</definedName>
    <definedName name="CIT_Holiday">Assumptions!$C$42</definedName>
    <definedName name="CIT_Rate">Assumptions!$C$43</definedName>
    <definedName name="WHT_Rate">Assumptions!$C$44</definedName>
    <definedName name="P1_COD">Assumptions!$C$47</definedName>
    <definedName name="P2_COD">Assumptions!$C$48</definedName>
    <definedName name="P3_COD">Assumptions!$C$49</definedName>
    <definedName name="Horizon">Assumptions!$C$50</definedName>
    <definedName name="Exit_Mult">Assumptions!$C$51</definedName>
  </definedNames>
  <calcPr calcId="124519" fullCalcOnLoad="1"/>
</workbook>
</file>

<file path=xl/styles.xml><?xml version="1.0" encoding="utf-8"?>
<styleSheet xmlns="http://schemas.openxmlformats.org/spreadsheetml/2006/main">
  <numFmts count="8">
    <numFmt numFmtId="164" formatCode="0.0%"/>
    <numFmt numFmtId="165" formatCode="0.0000"/>
    <numFmt numFmtId="166" formatCode="0.000"/>
    <numFmt numFmtId="167" formatCode="0.0"/>
    <numFmt numFmtId="168" formatCode="#,##0.0"/>
    <numFmt numFmtId="169" formatCode="0.00&quot;x&quot;"/>
    <numFmt numFmtId="170" formatCode="$0"/>
    <numFmt numFmtId="171" formatCode="0.0&quot;M/MW&quot;"/>
  </numFmts>
  <fonts count="2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FFFFFF"/>
      <sz val="10"/>
    </font>
    <font>
      <b val="1"/>
      <sz val="9"/>
    </font>
    <font>
      <name val="Calibri"/>
      <b val="1"/>
      <color rgb="000070C0"/>
      <sz val="10"/>
    </font>
    <font>
      <name val="Calibri"/>
      <i val="1"/>
      <color rgb="00475569"/>
      <sz val="10"/>
    </font>
    <font>
      <name val="Calibri"/>
      <i val="1"/>
      <color rgb="00475569"/>
      <sz val="9"/>
    </font>
    <font>
      <name val="Calibri"/>
      <b val="1"/>
      <color rgb="00FFFFFF"/>
      <sz val="12"/>
    </font>
    <font>
      <name val="Calibri"/>
      <color rgb="00000000"/>
      <sz val="10"/>
    </font>
    <font>
      <name val="Calibri"/>
      <i val="1"/>
      <color rgb="00F59E0B"/>
      <sz val="9"/>
    </font>
    <font>
      <name val="Calibri"/>
      <i val="1"/>
      <color rgb="00EF4444"/>
      <sz val="9"/>
    </font>
    <font>
      <b val="1"/>
      <color rgb="00FFFFFF"/>
    </font>
    <font>
      <name val="Calibri"/>
      <b val="1"/>
      <color rgb="000A1F3D"/>
      <sz val="11"/>
    </font>
    <font>
      <color rgb="00000000"/>
    </font>
    <font>
      <b val="1"/>
      <color rgb="00000000"/>
    </font>
    <font>
      <b val="1"/>
      <color rgb="00047857"/>
    </font>
    <font>
      <b val="1"/>
      <color rgb="00B91C1C"/>
    </font>
    <font>
      <b val="1"/>
    </font>
    <font>
      <b val="1"/>
      <color rgb="00047857"/>
      <sz val="12"/>
    </font>
    <font>
      <name val="Calibri"/>
      <i val="1"/>
      <color rgb="00B45309"/>
      <sz val="10"/>
    </font>
    <font>
      <b val="1"/>
      <color rgb="000A1F3D"/>
      <sz val="12"/>
    </font>
    <font>
      <i val="1"/>
      <color rgb="00EF4444"/>
      <sz val="9"/>
    </font>
    <font>
      <i val="1"/>
      <color rgb="00475569"/>
      <sz val="11"/>
    </font>
    <font>
      <b val="1"/>
      <color rgb="000A1F3D"/>
      <sz val="11"/>
    </font>
    <font>
      <sz val="10"/>
    </font>
    <font>
      <i val="1"/>
      <color rgb="00475569"/>
      <sz val="10"/>
    </font>
    <font>
      <i val="1"/>
      <color rgb="00475569"/>
      <sz val="9"/>
    </font>
  </fonts>
  <fills count="9">
    <fill>
      <patternFill/>
    </fill>
    <fill>
      <patternFill patternType="gray125"/>
    </fill>
    <fill>
      <patternFill patternType="solid">
        <fgColor rgb="000A1F3D"/>
      </patternFill>
    </fill>
    <fill>
      <patternFill patternType="solid">
        <fgColor rgb="0008182F"/>
      </patternFill>
    </fill>
    <fill>
      <patternFill patternType="solid">
        <fgColor rgb="00FFF9E6"/>
      </patternFill>
    </fill>
    <fill>
      <patternFill patternType="solid">
        <fgColor rgb="00F0F9FF"/>
      </patternFill>
    </fill>
    <fill>
      <patternFill patternType="solid">
        <fgColor rgb="00F1F5F9"/>
      </patternFill>
    </fill>
    <fill>
      <patternFill patternType="solid">
        <fgColor rgb="00F59E0B"/>
      </patternFill>
    </fill>
    <fill>
      <patternFill patternType="solid">
        <fgColor rgb="00FFD7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2" fillId="0" borderId="0" applyAlignment="1" pivotButton="0" quotePrefix="0" xfId="0">
      <alignment horizontal="left" vertical="center" indent="1"/>
    </xf>
    <xf numFmtId="0" fontId="23" fillId="6" borderId="0" applyAlignment="1" pivotButton="0" quotePrefix="0" xfId="0">
      <alignment horizontal="left" vertical="center" wrapText="1"/>
    </xf>
    <xf numFmtId="0" fontId="24" fillId="0" borderId="0" applyAlignment="1" pivotButton="0" quotePrefix="0" xfId="0">
      <alignment horizontal="left" vertical="center" wrapText="1"/>
    </xf>
    <xf numFmtId="0" fontId="2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4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center" vertical="center"/>
    </xf>
    <xf numFmtId="0" fontId="6" fillId="0" borderId="0" pivotButton="0" quotePrefix="0" xfId="0"/>
    <xf numFmtId="0" fontId="7" fillId="2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indent="1"/>
    </xf>
    <xf numFmtId="3" fontId="4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 indent="1"/>
    </xf>
    <xf numFmtId="3" fontId="5" fillId="5" borderId="0" applyAlignment="1" pivotButton="0" quotePrefix="0" xfId="0">
      <alignment horizontal="right" vertical="center"/>
    </xf>
    <xf numFmtId="2" fontId="5" fillId="5" borderId="0" applyAlignment="1" pivotButton="0" quotePrefix="0" xfId="0">
      <alignment horizontal="right" vertical="center"/>
    </xf>
    <xf numFmtId="0" fontId="9" fillId="0" borderId="0" pivotButton="0" quotePrefix="0" xfId="0"/>
    <xf numFmtId="2" fontId="4" fillId="4" borderId="0" applyAlignment="1" pivotButton="0" quotePrefix="0" xfId="0">
      <alignment horizontal="right" vertical="center"/>
    </xf>
    <xf numFmtId="164" fontId="4" fillId="4" borderId="0" applyAlignment="1" pivotButton="0" quotePrefix="0" xfId="0">
      <alignment horizontal="right" vertical="center"/>
    </xf>
    <xf numFmtId="165" fontId="4" fillId="4" borderId="0" applyAlignment="1" pivotButton="0" quotePrefix="0" xfId="0">
      <alignment horizontal="right" vertical="center"/>
    </xf>
    <xf numFmtId="166" fontId="4" fillId="4" borderId="0" applyAlignment="1" pivotButton="0" quotePrefix="0" xfId="0">
      <alignment horizontal="right" vertical="center"/>
    </xf>
    <xf numFmtId="10" fontId="4" fillId="4" borderId="0" applyAlignment="1" pivotButton="0" quotePrefix="0" xfId="0">
      <alignment horizontal="right" vertical="center"/>
    </xf>
    <xf numFmtId="164" fontId="5" fillId="5" borderId="0" applyAlignment="1" pivotButton="0" quotePrefix="0" xfId="0">
      <alignment horizontal="right" vertical="center"/>
    </xf>
    <xf numFmtId="167" fontId="4" fillId="4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wrapText="1"/>
    </xf>
    <xf numFmtId="0" fontId="11" fillId="3" borderId="0" applyAlignment="1" pivotButton="0" quotePrefix="0" xfId="0">
      <alignment horizontal="left" vertical="center" indent="1"/>
    </xf>
    <xf numFmtId="0" fontId="11" fillId="3" borderId="0" applyAlignment="1" pivotButton="0" quotePrefix="0" xfId="0">
      <alignment horizontal="center" vertical="center"/>
    </xf>
    <xf numFmtId="1" fontId="6" fillId="0" borderId="0" applyAlignment="1" pivotButton="0" quotePrefix="0" xfId="0">
      <alignment horizontal="center" vertical="center"/>
    </xf>
    <xf numFmtId="0" fontId="12" fillId="6" borderId="0" applyAlignment="1" pivotButton="0" quotePrefix="0" xfId="0">
      <alignment horizontal="left" vertical="center" indent="1"/>
    </xf>
    <xf numFmtId="0" fontId="13" fillId="0" borderId="0" applyAlignment="1" pivotButton="0" quotePrefix="0" xfId="0">
      <alignment horizontal="left" vertical="center" indent="1"/>
    </xf>
    <xf numFmtId="3" fontId="0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 indent="1"/>
    </xf>
    <xf numFmtId="3" fontId="14" fillId="0" borderId="0" applyAlignment="1" pivotButton="0" quotePrefix="0" xfId="0">
      <alignment horizontal="right" vertical="center"/>
    </xf>
    <xf numFmtId="164" fontId="0" fillId="0" borderId="0" applyAlignment="1" pivotButton="0" quotePrefix="0" xfId="0">
      <alignment horizontal="right" vertical="center"/>
    </xf>
    <xf numFmtId="168" fontId="14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left" vertical="center" indent="1"/>
    </xf>
    <xf numFmtId="168" fontId="15" fillId="0" borderId="0" applyAlignment="1" pivotButton="0" quotePrefix="0" xfId="0">
      <alignment horizontal="right" vertical="center"/>
    </xf>
    <xf numFmtId="0" fontId="16" fillId="0" borderId="0" applyAlignment="1" pivotButton="0" quotePrefix="0" xfId="0">
      <alignment horizontal="left" vertical="center" indent="1"/>
    </xf>
    <xf numFmtId="168" fontId="16" fillId="0" borderId="0" applyAlignment="1" pivotButton="0" quotePrefix="0" xfId="0">
      <alignment horizontal="right" vertical="center"/>
    </xf>
    <xf numFmtId="0" fontId="17" fillId="0" borderId="0" applyAlignment="1" pivotButton="0" quotePrefix="0" xfId="0">
      <alignment horizontal="left" vertical="center" indent="1"/>
    </xf>
    <xf numFmtId="164" fontId="18" fillId="5" borderId="0" applyAlignment="1" pivotButton="0" quotePrefix="0" xfId="0">
      <alignment horizontal="right" vertical="center"/>
    </xf>
    <xf numFmtId="169" fontId="18" fillId="5" borderId="0" applyAlignment="1" pivotButton="0" quotePrefix="0" xfId="0">
      <alignment horizontal="right" vertical="center"/>
    </xf>
    <xf numFmtId="168" fontId="17" fillId="5" borderId="0" applyAlignment="1" pivotButton="0" quotePrefix="0" xfId="0">
      <alignment horizontal="right" vertical="center"/>
    </xf>
    <xf numFmtId="0" fontId="11" fillId="7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center" vertical="center"/>
    </xf>
    <xf numFmtId="0" fontId="20" fillId="0" borderId="0" applyAlignment="1" pivotButton="0" quotePrefix="0" xfId="0">
      <alignment horizontal="left" vertical="center" indent="1"/>
    </xf>
    <xf numFmtId="9" fontId="11" fillId="3" borderId="0" applyAlignment="1" pivotButton="0" quotePrefix="0" xfId="0">
      <alignment horizontal="center" vertical="center"/>
    </xf>
    <xf numFmtId="170" fontId="17" fillId="6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center" vertical="center"/>
    </xf>
    <xf numFmtId="164" fontId="17" fillId="8" borderId="0" applyAlignment="1" pivotButton="0" quotePrefix="0" xfId="0">
      <alignment horizontal="center" vertical="center"/>
    </xf>
    <xf numFmtId="164" fontId="11" fillId="3" borderId="0" applyAlignment="1" pivotButton="0" quotePrefix="0" xfId="0">
      <alignment horizontal="center" vertical="center"/>
    </xf>
    <xf numFmtId="171" fontId="17" fillId="6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indent="1"/>
    </xf>
    <xf numFmtId="0" fontId="9" fillId="0" borderId="0" applyAlignment="1" pivotButton="0" quotePrefix="0" xfId="0">
      <alignment horizontal="left" vertical="center" indent="1"/>
    </xf>
    <xf numFmtId="0" fontId="2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4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0" customWidth="1" min="2" max="2"/>
  </cols>
  <sheetData>
    <row r="1" ht="32" customHeight="1">
      <c r="B1" s="1" t="inlineStr">
        <is>
          <t>BDIC Financial Model · README</t>
        </is>
      </c>
    </row>
    <row r="2">
      <c r="B2" s="2" t="inlineStr">
        <is>
          <t>印尼茂物 500MW AI 数据中心 · 财务模型使用说明</t>
        </is>
      </c>
    </row>
    <row r="4" ht="20" customHeight="1">
      <c r="B4" s="3" t="inlineStr">
        <is>
          <t>PURPOSE · 目的</t>
        </is>
      </c>
    </row>
    <row r="5" ht="20" customHeight="1">
      <c r="B5" s="4" t="inlineStr">
        <is>
          <t>This model reconstructs the BDIC project economics from parameters disclosed in the UHR Investor Deck (December 2025). It is a due-diligence-side calculator to sanity-check the Deck's IRR/EBITDA/MOIC claims and to run scenarios ahead of Dr. Richter releasing his own model.</t>
        </is>
      </c>
    </row>
    <row r="6" ht="20" customHeight="1">
      <c r="B6" s="5" t="inlineStr">
        <is>
          <t>此模型基于 UHR 投资 Deck（2025年12月）披露参数重建 BDIC 项目经济性，用于尽调侧交叉验证 Deck 声明的 IRR / EBITDA / MOIC，并在 Richter 博士发布正式模型前跑情景。</t>
        </is>
      </c>
    </row>
    <row r="7" ht="8" customHeight="1">
      <c r="B7" s="4" t="inlineStr"/>
    </row>
    <row r="8" ht="20" customHeight="1">
      <c r="B8" s="3" t="inlineStr">
        <is>
          <t>STRUCTURE · 结构</t>
        </is>
      </c>
    </row>
    <row r="9" ht="20" customHeight="1">
      <c r="B9" s="4" t="inlineStr">
        <is>
          <t>• Sheet 1 · Assumptions — All editable inputs (yellow cells). Change values here; other sheets recalculate.</t>
        </is>
      </c>
    </row>
    <row r="10" ht="20" customHeight="1">
      <c r="B10" s="4" t="inlineStr">
        <is>
          <t>• Sheet 2 · P&amp;L — 15-year income statement, phase-by-phase (100 → 250 → 500 MW).</t>
        </is>
      </c>
    </row>
    <row r="11" ht="20" customHeight="1">
      <c r="B11" s="4" t="inlineStr">
        <is>
          <t>• Sheet 3 · Cashflow &amp; Returns — CAPEX/debt/equity flows, IRR (unlevered + levered), MOIC, DSCR.</t>
        </is>
      </c>
    </row>
    <row r="12" ht="20" customHeight="1">
      <c r="B12" s="4" t="inlineStr">
        <is>
          <t>• Sheet 4 · Sensitivity — Three two-way tables: (i) Lease × Util → EBITDA margin (ii) CAPEX × Debt → Equity yield (iii) Break-even utilisation.</t>
        </is>
      </c>
    </row>
    <row r="13" ht="8" customHeight="1">
      <c r="B13" s="4" t="inlineStr"/>
    </row>
    <row r="14" ht="20" customHeight="1">
      <c r="B14" s="3" t="inlineStr">
        <is>
          <t>HOW TO USE · 使用方法</t>
        </is>
      </c>
    </row>
    <row r="15" ht="20" customHeight="1">
      <c r="B15" s="4" t="inlineStr">
        <is>
          <t>1. Open in Excel / WPS / Numbers (formulas may not evaluate in Google Sheets — use desktop app for accuracy).</t>
        </is>
      </c>
    </row>
    <row r="16" ht="20" customHeight="1">
      <c r="B16" s="4" t="inlineStr">
        <is>
          <t>2. Go to Assumptions sheet. Modify yellow-highlighted cells to run scenarios.</t>
        </is>
      </c>
    </row>
    <row r="17" ht="20" customHeight="1">
      <c r="B17" s="4" t="inlineStr">
        <is>
          <t>3. All downstream sheets auto-recalculate. Check Returns Summary block in 'Cashflow&amp;Returns' for headline IRRs.</t>
        </is>
      </c>
    </row>
    <row r="18" ht="20" customHeight="1">
      <c r="B18" s="4" t="inlineStr">
        <is>
          <t>4. Sensitivity tables use closed-form approximations (not live-linked). To rerun sensitivity live, use Excel Data Table feature manually.</t>
        </is>
      </c>
    </row>
    <row r="19" ht="8" customHeight="1">
      <c r="B19" s="4" t="inlineStr"/>
    </row>
    <row r="20" ht="20" customHeight="1">
      <c r="B20" s="3" t="inlineStr">
        <is>
          <t>KEY OUTPUTS TO WATCH · 关键输出</t>
        </is>
      </c>
    </row>
    <row r="21" ht="20" customHeight="1">
      <c r="B21" s="4" t="inlineStr">
        <is>
          <t>• Cashflow&amp;Returns!C35   →   Project IRR (target: Deck claims 15-22%)</t>
        </is>
      </c>
    </row>
    <row r="22" ht="20" customHeight="1">
      <c r="B22" s="4" t="inlineStr">
        <is>
          <t>• Cashflow&amp;Returns!C36   →   Equity IRR (post-leverage)</t>
        </is>
      </c>
    </row>
    <row r="23" ht="20" customHeight="1">
      <c r="B23" s="4" t="inlineStr">
        <is>
          <t>• Cashflow&amp;Returns!C37   →   Equity MOIC (target: Deck claims 2.0-3.2×)</t>
        </is>
      </c>
    </row>
    <row r="24" ht="20" customHeight="1">
      <c r="B24" s="4" t="inlineStr">
        <is>
          <t>• P&amp;L!W24 / W25          →   Stabilised EBITDA &amp; margin (target: 55-65%)</t>
        </is>
      </c>
    </row>
    <row r="25" ht="8" customHeight="1">
      <c r="B25" s="4" t="inlineStr"/>
    </row>
    <row r="26" ht="20" customHeight="1">
      <c r="B26" s="3" t="inlineStr">
        <is>
          <t>LIMITATIONS · 局限性</t>
        </is>
      </c>
    </row>
    <row r="27" ht="20" customHeight="1">
      <c r="B27" s="4" t="inlineStr">
        <is>
          <t>• Depreciation: 20-yr straight-line across all CAPEX buckets (real model would separate short-life IT vs long-life civil).</t>
        </is>
      </c>
    </row>
    <row r="28" ht="20" customHeight="1">
      <c r="B28" s="4" t="inlineStr">
        <is>
          <t>• Interest expense: linear declining approximation. Real bank facility would have grace period + amortisation schedule.</t>
        </is>
      </c>
    </row>
    <row r="29" ht="20" customHeight="1">
      <c r="B29" s="4" t="inlineStr">
        <is>
          <t>• Working capital: not modelled (standard for BTS leases — cash-in-advance minimises NWC swings).</t>
        </is>
      </c>
    </row>
    <row r="30" ht="20" customHeight="1">
      <c r="B30" s="4" t="inlineStr">
        <is>
          <t>• Tax: CIT holiday modelled as binary. Real PMK 69/2024 may have tiered post-holiday relief (5-year 50% reduction phase).</t>
        </is>
      </c>
    </row>
    <row r="31" ht="20" customHeight="1">
      <c r="B31" s="4" t="inlineStr">
        <is>
          <t>• FX: Model is USD-denominated. IDR exposure on CAPEX/OPEX not stress-tested — see Sensitivity Table 2 as proxy.</t>
        </is>
      </c>
    </row>
    <row r="32" ht="20" customHeight="1">
      <c r="B32" s="4" t="inlineStr">
        <is>
          <t>• Terminal Value: single-point 12x EBITDA at Y15. No sale process discount or IRR-to-equity holding period adjustment.</t>
        </is>
      </c>
    </row>
    <row r="33" ht="8" customHeight="1">
      <c r="B33" s="4" t="inlineStr"/>
    </row>
    <row r="34" ht="20" customHeight="1">
      <c r="B34" s="3" t="inlineStr">
        <is>
          <t>SOURCE · 数据来源</t>
        </is>
      </c>
    </row>
    <row r="35" ht="20" customHeight="1">
      <c r="B35" s="4" t="inlineStr">
        <is>
          <t>• UHR BDIC Investor Deck 2026 · December 2025 · Dr. Ulf Henning Richter</t>
        </is>
      </c>
    </row>
    <row r="36" ht="20" customHeight="1">
      <c r="B36" s="4" t="inlineStr">
        <is>
          <t>• Cross-references: Companion analysis in index.html (Project Analysis tab)</t>
        </is>
      </c>
    </row>
    <row r="37" ht="20" customHeight="1">
      <c r="B37" s="4" t="inlineStr">
        <is>
          <t>• DD questions raised: BDIC_DD_Question_List_for_Dr_Richter.html</t>
        </is>
      </c>
    </row>
    <row r="38" ht="8" customHeight="1">
      <c r="B38" s="4" t="inlineStr"/>
    </row>
    <row r="39" ht="20" customHeight="1">
      <c r="B39" s="6" t="inlineStr">
        <is>
          <t>Prepared: 2026-07-27 · Grace Zhang</t>
        </is>
      </c>
    </row>
    <row r="40" ht="20" customHeight="1">
      <c r="B40" s="6" t="inlineStr">
        <is>
          <t>Confidential · For BDIC pre-FID due diligence purposes only</t>
        </is>
      </c>
    </row>
  </sheetData>
  <mergeCells count="1">
    <mergeCell ref="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53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2" customWidth="1" min="2" max="2"/>
    <col width="16" customWidth="1" min="3" max="3"/>
    <col width="12" customWidth="1" min="4" max="4"/>
    <col width="50" customWidth="1" min="5" max="5"/>
  </cols>
  <sheetData>
    <row r="1" ht="32" customHeight="1">
      <c r="B1" s="1" t="inlineStr">
        <is>
          <t>BDIC · Bogor Digital Infrastructure Complex</t>
        </is>
      </c>
    </row>
    <row r="2" ht="20" customHeight="1">
      <c r="B2" s="7" t="inlineStr">
        <is>
          <t>Financial Model · Assumptions Sheet   |   财务模型 · 输入参数</t>
        </is>
      </c>
    </row>
    <row r="4">
      <c r="B4" s="8" t="inlineStr">
        <is>
          <t>Legend / 图例:</t>
        </is>
      </c>
      <c r="C4" s="9" t="inlineStr">
        <is>
          <t>Input</t>
        </is>
      </c>
      <c r="D4" s="10" t="inlineStr">
        <is>
          <t>Calc</t>
        </is>
      </c>
      <c r="E4" s="11" t="inlineStr">
        <is>
          <t>Yellow = user-editable input · Blue-tint = derived calculation</t>
        </is>
      </c>
    </row>
    <row r="6" ht="22" customHeight="1">
      <c r="B6" s="12" t="inlineStr">
        <is>
          <t xml:space="preserve">  A. Project Scale   ·   A. 项目规模</t>
        </is>
      </c>
    </row>
    <row r="7">
      <c r="B7" s="13" t="inlineStr">
        <is>
          <t>Phase 1 IT Load</t>
        </is>
      </c>
      <c r="C7" s="14" t="n">
        <v>100</v>
      </c>
      <c r="D7" s="15" t="inlineStr">
        <is>
          <t>MW</t>
        </is>
      </c>
      <c r="E7" s="16" t="inlineStr">
        <is>
          <t>Anchor hall · ByteDance 30-80MW</t>
        </is>
      </c>
    </row>
    <row r="8">
      <c r="B8" s="13" t="inlineStr">
        <is>
          <t>Phase 2 IT Load (incremental)</t>
        </is>
      </c>
      <c r="C8" s="14" t="n">
        <v>150</v>
      </c>
      <c r="D8" s="15" t="inlineStr">
        <is>
          <t>MW</t>
        </is>
      </c>
      <c r="E8" s="16" t="inlineStr">
        <is>
          <t>Years 3-5 · Alibaba/Google/AWS scale</t>
        </is>
      </c>
    </row>
    <row r="9">
      <c r="B9" s="13" t="inlineStr">
        <is>
          <t>Phase 3 IT Load (incremental)</t>
        </is>
      </c>
      <c r="C9" s="14" t="n">
        <v>250</v>
      </c>
      <c r="D9" s="15" t="inlineStr">
        <is>
          <t>MW</t>
        </is>
      </c>
      <c r="E9" s="16" t="inlineStr">
        <is>
          <t>Years 5-10 · full campus</t>
        </is>
      </c>
    </row>
    <row r="10">
      <c r="B10" s="13" t="inlineStr">
        <is>
          <t>Ultimate IT Load</t>
        </is>
      </c>
      <c r="C10" s="17">
        <f>P1_MW+P2_MW+P3_MW</f>
        <v/>
      </c>
      <c r="D10" s="15" t="inlineStr">
        <is>
          <t>MW</t>
        </is>
      </c>
      <c r="E10" s="11" t="inlineStr">
        <is>
          <t>Deck target: 500 MW</t>
        </is>
      </c>
    </row>
    <row r="12" ht="22" customHeight="1">
      <c r="B12" s="12" t="inlineStr">
        <is>
          <t xml:space="preserve">  B. CAPEX   ·   B. 资本支出</t>
        </is>
      </c>
    </row>
    <row r="13">
      <c r="B13" s="13" t="inlineStr">
        <is>
          <t>Phase 1 CAPEX</t>
        </is>
      </c>
      <c r="C13" s="14" t="n">
        <v>860</v>
      </c>
      <c r="D13" s="15" t="inlineStr">
        <is>
          <t>USD M</t>
        </is>
      </c>
      <c r="E13" s="16" t="inlineStr">
        <is>
          <t>Deck: $820-900M (mid $860M)</t>
        </is>
      </c>
    </row>
    <row r="14">
      <c r="B14" s="13" t="inlineStr">
        <is>
          <t>Phase 2 CAPEX (incremental)</t>
        </is>
      </c>
      <c r="C14" s="14" t="n">
        <v>1200</v>
      </c>
      <c r="D14" s="15" t="inlineStr">
        <is>
          <t>USD M</t>
        </is>
      </c>
      <c r="E14" s="16" t="inlineStr">
        <is>
          <t>Deck: $1.1-1.3B (mid $1.2B)</t>
        </is>
      </c>
    </row>
    <row r="15">
      <c r="B15" s="13" t="inlineStr">
        <is>
          <t>Phase 3 CAPEX (incremental)</t>
        </is>
      </c>
      <c r="C15" s="14" t="n">
        <v>2100</v>
      </c>
      <c r="D15" s="15" t="inlineStr">
        <is>
          <t>USD M</t>
        </is>
      </c>
      <c r="E15" s="16" t="inlineStr">
        <is>
          <t>Deck: $2.0-2.2B (mid $2.1B)</t>
        </is>
      </c>
    </row>
    <row r="16">
      <c r="B16" s="13" t="inlineStr">
        <is>
          <t>Total Platform CAPEX</t>
        </is>
      </c>
      <c r="C16" s="17">
        <f>P1_CAPEX+P2_CAPEX+P3_CAPEX</f>
        <v/>
      </c>
      <c r="D16" s="15" t="inlineStr">
        <is>
          <t>USD M</t>
        </is>
      </c>
      <c r="E16" s="11" t="inlineStr">
        <is>
          <t>Deck: $4.0-4.4B</t>
        </is>
      </c>
    </row>
    <row r="17">
      <c r="B17" s="13" t="inlineStr">
        <is>
          <t>Blended CAPEX intensity</t>
        </is>
      </c>
      <c r="C17" s="18">
        <f>Total_CAPEX/Ultimate_MW</f>
        <v/>
      </c>
      <c r="D17" s="15" t="inlineStr">
        <is>
          <t>USD M/MW</t>
        </is>
      </c>
      <c r="E17" s="19" t="inlineStr">
        <is>
          <t>⚠ Deck claim $7.5-8.5; Asian AI-ready peers $10-14</t>
        </is>
      </c>
    </row>
    <row r="18">
      <c r="B18" s="13" t="inlineStr">
        <is>
          <t>Depreciation period (straight-line)</t>
        </is>
      </c>
      <c r="C18" s="14" t="n">
        <v>20</v>
      </c>
      <c r="D18" s="15" t="inlineStr">
        <is>
          <t>years</t>
        </is>
      </c>
      <c r="E18" s="16" t="inlineStr">
        <is>
          <t>IFRS SLM; asset life</t>
        </is>
      </c>
    </row>
    <row r="20" ht="22" customHeight="1">
      <c r="B20" s="12" t="inlineStr">
        <is>
          <t xml:space="preserve">  C. Revenue Assumptions   ·   C. 收入假设</t>
        </is>
      </c>
    </row>
    <row r="21">
      <c r="B21" s="13" t="inlineStr">
        <is>
          <t>Lease rate (blended)</t>
        </is>
      </c>
      <c r="C21" s="20" t="n">
        <v>125</v>
      </c>
      <c r="D21" s="15" t="inlineStr">
        <is>
          <t>USD/kW/mo</t>
        </is>
      </c>
      <c r="E21" s="16" t="inlineStr">
        <is>
          <t>Deck: $110-140/kW/mo · wholesale BTS</t>
        </is>
      </c>
    </row>
    <row r="22">
      <c r="B22" s="13" t="inlineStr">
        <is>
          <t>Utilisation Year 1</t>
        </is>
      </c>
      <c r="C22" s="21" t="n">
        <v>0.4</v>
      </c>
      <c r="D22" s="15" t="inlineStr">
        <is>
          <t>%</t>
        </is>
      </c>
      <c r="E22" s="16" t="inlineStr">
        <is>
          <t>Ramp from anchor commissioning</t>
        </is>
      </c>
    </row>
    <row r="23">
      <c r="B23" s="13" t="inlineStr">
        <is>
          <t>Utilisation Year 2</t>
        </is>
      </c>
      <c r="C23" s="21" t="n">
        <v>0.65</v>
      </c>
      <c r="D23" s="15" t="inlineStr">
        <is>
          <t>%</t>
        </is>
      </c>
      <c r="E23" s="16" t="inlineStr">
        <is>
          <t>Anchor + tier 1B ramp</t>
        </is>
      </c>
    </row>
    <row r="24">
      <c r="B24" s="13" t="inlineStr">
        <is>
          <t>Utilisation Year 3+</t>
        </is>
      </c>
      <c r="C24" s="21" t="n">
        <v>0.85</v>
      </c>
      <c r="D24" s="15" t="inlineStr">
        <is>
          <t>%</t>
        </is>
      </c>
      <c r="E24" s="16" t="inlineStr">
        <is>
          <t>Deck stabilised: 85%</t>
        </is>
      </c>
    </row>
    <row r="25">
      <c r="B25" s="13" t="inlineStr">
        <is>
          <t>Annual lease escalator</t>
        </is>
      </c>
      <c r="C25" s="21" t="n">
        <v>0.02</v>
      </c>
      <c r="D25" s="15" t="inlineStr">
        <is>
          <t>%/yr</t>
        </is>
      </c>
      <c r="E25" s="16" t="inlineStr">
        <is>
          <t>Typical BTS CPI-linked 2%</t>
        </is>
      </c>
    </row>
    <row r="27" ht="22" customHeight="1">
      <c r="B27" s="12" t="inlineStr">
        <is>
          <t xml:space="preserve">  D. OPEX Assumptions   ·   D. 运营支出</t>
        </is>
      </c>
    </row>
    <row r="28">
      <c r="B28" s="13" t="inlineStr">
        <is>
          <t>Blended energy cost</t>
        </is>
      </c>
      <c r="C28" s="22" t="n">
        <v>0.062</v>
      </c>
      <c r="D28" s="15" t="inlineStr">
        <is>
          <t>USD/kWh</t>
        </is>
      </c>
      <c r="E28" s="16" t="inlineStr">
        <is>
          <t>Deck: $0.062 (vs SG $0.12-0.16)</t>
        </is>
      </c>
    </row>
    <row r="29">
      <c r="B29" s="13" t="inlineStr">
        <is>
          <t>PUE (Power Usage Effectiveness)</t>
        </is>
      </c>
      <c r="C29" s="23" t="n">
        <v>1.175</v>
      </c>
      <c r="D29" s="15" t="inlineStr">
        <is>
          <t>ratio</t>
        </is>
      </c>
      <c r="E29" s="16" t="inlineStr">
        <is>
          <t>Deck: 1.15-1.20 (mid 1.175)</t>
        </is>
      </c>
    </row>
    <row r="30">
      <c r="B30" s="13" t="inlineStr">
        <is>
          <t>Load factor (avg IT load / peak)</t>
        </is>
      </c>
      <c r="C30" s="21" t="n">
        <v>0.85</v>
      </c>
      <c r="D30" s="15" t="inlineStr">
        <is>
          <t>%</t>
        </is>
      </c>
      <c r="E30" s="16" t="inlineStr">
        <is>
          <t>Standard hyperscale assumption</t>
        </is>
      </c>
    </row>
    <row r="31">
      <c r="B31" s="13" t="inlineStr">
        <is>
          <t>O&amp;M as % of revenue</t>
        </is>
      </c>
      <c r="C31" s="21" t="n">
        <v>0.08</v>
      </c>
      <c r="D31" s="15" t="inlineStr">
        <is>
          <t>%</t>
        </is>
      </c>
      <c r="E31" s="16" t="inlineStr">
        <is>
          <t>Staffing, maintenance, cooling water</t>
        </is>
      </c>
    </row>
    <row r="32">
      <c r="B32" s="13" t="inlineStr">
        <is>
          <t>Property tax + insurance</t>
        </is>
      </c>
      <c r="C32" s="24" t="n">
        <v>0.008</v>
      </c>
      <c r="D32" s="15" t="inlineStr">
        <is>
          <t>% of CAPEX</t>
        </is>
      </c>
      <c r="E32" s="16" t="inlineStr">
        <is>
          <t>Indonesia PBB + all-risk cover</t>
        </is>
      </c>
    </row>
    <row r="33">
      <c r="B33" s="13" t="inlineStr">
        <is>
          <t>Corporate SG&amp;A</t>
        </is>
      </c>
      <c r="C33" s="21" t="n">
        <v>0.04</v>
      </c>
      <c r="D33" s="15" t="inlineStr">
        <is>
          <t>% of revenue</t>
        </is>
      </c>
      <c r="E33" s="16" t="inlineStr">
        <is>
          <t>HQ overhead, audit, legal</t>
        </is>
      </c>
    </row>
    <row r="35" ht="22" customHeight="1">
      <c r="B35" s="12" t="inlineStr">
        <is>
          <t xml:space="preserve">  E. Financing   ·   E. 融资结构</t>
        </is>
      </c>
    </row>
    <row r="36">
      <c r="B36" s="13" t="inlineStr">
        <is>
          <t>Senior debt ratio</t>
        </is>
      </c>
      <c r="C36" s="21" t="n">
        <v>0.65</v>
      </c>
      <c r="D36" s="15" t="inlineStr">
        <is>
          <t>%</t>
        </is>
      </c>
      <c r="E36" s="16" t="inlineStr">
        <is>
          <t>Deck: 60-65% (mid 65%)</t>
        </is>
      </c>
    </row>
    <row r="37">
      <c r="B37" s="13" t="inlineStr">
        <is>
          <t>Senior debt interest rate</t>
        </is>
      </c>
      <c r="C37" s="24" t="n">
        <v>0.065</v>
      </c>
      <c r="D37" s="15" t="inlineStr">
        <is>
          <t>% p.a.</t>
        </is>
      </c>
      <c r="E37" s="16" t="inlineStr">
        <is>
          <t>DFI blended (IFC/ADB/AIIB indicative)</t>
        </is>
      </c>
    </row>
    <row r="38">
      <c r="B38" s="13" t="inlineStr">
        <is>
          <t>Debt tenor</t>
        </is>
      </c>
      <c r="C38" s="14" t="n">
        <v>15</v>
      </c>
      <c r="D38" s="15" t="inlineStr">
        <is>
          <t>years</t>
        </is>
      </c>
      <c r="E38" s="16" t="inlineStr">
        <is>
          <t>Deck: 12-15 years</t>
        </is>
      </c>
    </row>
    <row r="39">
      <c r="B39" s="13" t="inlineStr">
        <is>
          <t>Equity ratio</t>
        </is>
      </c>
      <c r="C39" s="25">
        <f>1-Debt_Ratio</f>
        <v/>
      </c>
      <c r="D39" s="15" t="inlineStr">
        <is>
          <t>%</t>
        </is>
      </c>
      <c r="E39" s="16" t="inlineStr">
        <is>
          <t>Balance of financing</t>
        </is>
      </c>
    </row>
    <row r="41" ht="22" customHeight="1">
      <c r="B41" s="12" t="inlineStr">
        <is>
          <t xml:space="preserve">  F. Tax   ·   F. 税务</t>
        </is>
      </c>
    </row>
    <row r="42">
      <c r="B42" s="13" t="inlineStr">
        <is>
          <t>CIT holiday period</t>
        </is>
      </c>
      <c r="C42" s="14" t="n">
        <v>20</v>
      </c>
      <c r="D42" s="15" t="inlineStr">
        <is>
          <t>years</t>
        </is>
      </c>
      <c r="E42" s="16" t="inlineStr">
        <is>
          <t>PMK 69/2024 · pioneering industry</t>
        </is>
      </c>
    </row>
    <row r="43">
      <c r="B43" s="13" t="inlineStr">
        <is>
          <t>Regular CIT rate (post-holiday)</t>
        </is>
      </c>
      <c r="C43" s="21" t="n">
        <v>0.22</v>
      </c>
      <c r="D43" s="15" t="inlineStr">
        <is>
          <t>%</t>
        </is>
      </c>
      <c r="E43" s="16" t="inlineStr">
        <is>
          <t>Indonesia standard 22%</t>
        </is>
      </c>
    </row>
    <row r="44">
      <c r="B44" s="13" t="inlineStr">
        <is>
          <t>WHT on dividends (SG treaty)</t>
        </is>
      </c>
      <c r="C44" s="21" t="n">
        <v>0.1</v>
      </c>
      <c r="D44" s="15" t="inlineStr">
        <is>
          <t>%</t>
        </is>
      </c>
      <c r="E44" s="16" t="inlineStr">
        <is>
          <t>SG-Indo tax treaty</t>
        </is>
      </c>
    </row>
    <row r="46" ht="22" customHeight="1">
      <c r="B46" s="12" t="inlineStr">
        <is>
          <t xml:space="preserve">  G. Timing   ·   G. 时间节奏</t>
        </is>
      </c>
    </row>
    <row r="47">
      <c r="B47" s="13" t="inlineStr">
        <is>
          <t>Phase 1 COD (Year)</t>
        </is>
      </c>
      <c r="C47" s="14" t="n">
        <v>3</v>
      </c>
      <c r="D47" s="15" t="inlineStr">
        <is>
          <t>yr</t>
        </is>
      </c>
      <c r="E47" s="16" t="inlineStr">
        <is>
          <t>Deck: Month 30-36</t>
        </is>
      </c>
    </row>
    <row r="48">
      <c r="B48" s="13" t="inlineStr">
        <is>
          <t>Phase 2 COD (Year)</t>
        </is>
      </c>
      <c r="C48" s="14" t="n">
        <v>5</v>
      </c>
      <c r="D48" s="15" t="inlineStr">
        <is>
          <t>yr</t>
        </is>
      </c>
      <c r="E48" s="16" t="inlineStr">
        <is>
          <t>Deck: Years 3-5</t>
        </is>
      </c>
    </row>
    <row r="49">
      <c r="B49" s="13" t="inlineStr">
        <is>
          <t>Phase 3 COD (Year)</t>
        </is>
      </c>
      <c r="C49" s="14" t="n">
        <v>8</v>
      </c>
      <c r="D49" s="15" t="inlineStr">
        <is>
          <t>yr</t>
        </is>
      </c>
      <c r="E49" s="16" t="inlineStr">
        <is>
          <t>Deck: Years 5-10</t>
        </is>
      </c>
    </row>
    <row r="50">
      <c r="B50" s="13" t="inlineStr">
        <is>
          <t>Analysis horizon</t>
        </is>
      </c>
      <c r="C50" s="14" t="n">
        <v>15</v>
      </c>
      <c r="D50" s="15" t="inlineStr">
        <is>
          <t>yr</t>
        </is>
      </c>
      <c r="E50" s="16" t="inlineStr">
        <is>
          <t>Model horizon (Year 0 = FID)</t>
        </is>
      </c>
    </row>
    <row r="51">
      <c r="B51" s="13" t="inlineStr">
        <is>
          <t>Exit EBITDA multiple</t>
        </is>
      </c>
      <c r="C51" s="26" t="n">
        <v>12</v>
      </c>
      <c r="D51" s="15" t="inlineStr">
        <is>
          <t>x</t>
        </is>
      </c>
      <c r="E51" s="16" t="inlineStr">
        <is>
          <t>SG S-REIT / infra comps 10-14x</t>
        </is>
      </c>
    </row>
    <row r="53" ht="30" customHeight="1">
      <c r="B53" s="27" t="inlineStr">
        <is>
          <t>⚠ IMPORTANT: All figures illustrative, derived from disclosed Deck ranges. Not a substitute for sponsor's underlying model. Update inputs (yellow cells) to run scenarios.</t>
        </is>
      </c>
    </row>
  </sheetData>
  <mergeCells count="10">
    <mergeCell ref="B27:E27"/>
    <mergeCell ref="B1:E1"/>
    <mergeCell ref="B41:E41"/>
    <mergeCell ref="B35:E35"/>
    <mergeCell ref="B53:E53"/>
    <mergeCell ref="B12:E12"/>
    <mergeCell ref="B6:E6"/>
    <mergeCell ref="B2:E2"/>
    <mergeCell ref="B20:E20"/>
    <mergeCell ref="B46:E4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S35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0" customWidth="1" min="2" max="2"/>
    <col width="8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</cols>
  <sheetData>
    <row r="1" ht="28" customHeight="1">
      <c r="B1" s="1" t="inlineStr">
        <is>
          <t>P&amp;L · Income Statement (USD M)   |   损益表 (百万美元)</t>
        </is>
      </c>
    </row>
    <row r="3" ht="20" customHeight="1">
      <c r="B3" s="28" t="inlineStr">
        <is>
          <t>Line Item / 项目</t>
        </is>
      </c>
      <c r="C3" s="29" t="inlineStr">
        <is>
          <t>Unit</t>
        </is>
      </c>
      <c r="D3" s="29" t="inlineStr">
        <is>
          <t>Y0</t>
        </is>
      </c>
      <c r="E3" s="29" t="inlineStr">
        <is>
          <t>Y1</t>
        </is>
      </c>
      <c r="F3" s="29" t="inlineStr">
        <is>
          <t>Y2</t>
        </is>
      </c>
      <c r="G3" s="29" t="inlineStr">
        <is>
          <t>Y3</t>
        </is>
      </c>
      <c r="H3" s="29" t="inlineStr">
        <is>
          <t>Y4</t>
        </is>
      </c>
      <c r="I3" s="29" t="inlineStr">
        <is>
          <t>Y5</t>
        </is>
      </c>
      <c r="J3" s="29" t="inlineStr">
        <is>
          <t>Y6</t>
        </is>
      </c>
      <c r="K3" s="29" t="inlineStr">
        <is>
          <t>Y7</t>
        </is>
      </c>
      <c r="L3" s="29" t="inlineStr">
        <is>
          <t>Y8</t>
        </is>
      </c>
      <c r="M3" s="29" t="inlineStr">
        <is>
          <t>Y9</t>
        </is>
      </c>
      <c r="N3" s="29" t="inlineStr">
        <is>
          <t>Y10</t>
        </is>
      </c>
      <c r="O3" s="29" t="inlineStr">
        <is>
          <t>Y11</t>
        </is>
      </c>
      <c r="P3" s="29" t="inlineStr">
        <is>
          <t>Y12</t>
        </is>
      </c>
      <c r="Q3" s="29" t="inlineStr">
        <is>
          <t>Y13</t>
        </is>
      </c>
      <c r="R3" s="29" t="inlineStr">
        <is>
          <t>Y14</t>
        </is>
      </c>
      <c r="S3" s="29" t="inlineStr">
        <is>
          <t>Y15</t>
        </is>
      </c>
    </row>
    <row r="4">
      <c r="B4" s="16" t="inlineStr">
        <is>
          <t>Year (from FID)</t>
        </is>
      </c>
      <c r="C4" t="inlineStr"/>
      <c r="D4" s="30" t="n">
        <v>0</v>
      </c>
      <c r="E4" s="30" t="n">
        <v>1</v>
      </c>
      <c r="F4" s="30" t="n">
        <v>2</v>
      </c>
      <c r="G4" s="30" t="n">
        <v>3</v>
      </c>
      <c r="H4" s="30" t="n">
        <v>4</v>
      </c>
      <c r="I4" s="30" t="n">
        <v>5</v>
      </c>
      <c r="J4" s="30" t="n">
        <v>6</v>
      </c>
      <c r="K4" s="30" t="n">
        <v>7</v>
      </c>
      <c r="L4" s="30" t="n">
        <v>8</v>
      </c>
      <c r="M4" s="30" t="n">
        <v>9</v>
      </c>
      <c r="N4" s="30" t="n">
        <v>10</v>
      </c>
      <c r="O4" s="30" t="n">
        <v>11</v>
      </c>
      <c r="P4" s="30" t="n">
        <v>12</v>
      </c>
      <c r="Q4" s="30" t="n">
        <v>13</v>
      </c>
      <c r="R4" s="30" t="n">
        <v>14</v>
      </c>
      <c r="S4" s="30" t="n">
        <v>15</v>
      </c>
    </row>
    <row r="6" ht="18" customHeight="1">
      <c r="B6" s="31" t="inlineStr">
        <is>
          <t xml:space="preserve">  OPERATING METRICS · 运营指标</t>
        </is>
      </c>
    </row>
    <row r="7">
      <c r="B7" s="32" t="inlineStr">
        <is>
          <t xml:space="preserve">  Phase 1 MW online</t>
        </is>
      </c>
      <c r="C7" s="15" t="inlineStr">
        <is>
          <t>MW</t>
        </is>
      </c>
      <c r="D7" s="33">
        <f>IF(D4&gt;=P1_COD,P1_MW,0)</f>
        <v/>
      </c>
      <c r="E7" s="33">
        <f>IF(E4&gt;=P1_COD,P1_MW,0)</f>
        <v/>
      </c>
      <c r="F7" s="33">
        <f>IF(F4&gt;=P1_COD,P1_MW,0)</f>
        <v/>
      </c>
      <c r="G7" s="33">
        <f>IF(G4&gt;=P1_COD,P1_MW,0)</f>
        <v/>
      </c>
      <c r="H7" s="33">
        <f>IF(H4&gt;=P1_COD,P1_MW,0)</f>
        <v/>
      </c>
      <c r="I7" s="33">
        <f>IF(I4&gt;=P1_COD,P1_MW,0)</f>
        <v/>
      </c>
      <c r="J7" s="33">
        <f>IF(J4&gt;=P1_COD,P1_MW,0)</f>
        <v/>
      </c>
      <c r="K7" s="33">
        <f>IF(K4&gt;=P1_COD,P1_MW,0)</f>
        <v/>
      </c>
      <c r="L7" s="33">
        <f>IF(L4&gt;=P1_COD,P1_MW,0)</f>
        <v/>
      </c>
      <c r="M7" s="33">
        <f>IF(M4&gt;=P1_COD,P1_MW,0)</f>
        <v/>
      </c>
      <c r="N7" s="33">
        <f>IF(N4&gt;=P1_COD,P1_MW,0)</f>
        <v/>
      </c>
      <c r="O7" s="33">
        <f>IF(O4&gt;=P1_COD,P1_MW,0)</f>
        <v/>
      </c>
      <c r="P7" s="33">
        <f>IF(P4&gt;=P1_COD,P1_MW,0)</f>
        <v/>
      </c>
      <c r="Q7" s="33">
        <f>IF(Q4&gt;=P1_COD,P1_MW,0)</f>
        <v/>
      </c>
      <c r="R7" s="33">
        <f>IF(R4&gt;=P1_COD,P1_MW,0)</f>
        <v/>
      </c>
      <c r="S7" s="33">
        <f>IF(S4&gt;=P1_COD,P1_MW,0)</f>
        <v/>
      </c>
    </row>
    <row r="8">
      <c r="B8" s="32" t="inlineStr">
        <is>
          <t xml:space="preserve">  Phase 2 MW online</t>
        </is>
      </c>
      <c r="C8" s="15" t="inlineStr">
        <is>
          <t>MW</t>
        </is>
      </c>
      <c r="D8" s="33">
        <f>IF(D4&gt;=P2_COD,P2_MW,0)</f>
        <v/>
      </c>
      <c r="E8" s="33">
        <f>IF(E4&gt;=P2_COD,P2_MW,0)</f>
        <v/>
      </c>
      <c r="F8" s="33">
        <f>IF(F4&gt;=P2_COD,P2_MW,0)</f>
        <v/>
      </c>
      <c r="G8" s="33">
        <f>IF(G4&gt;=P2_COD,P2_MW,0)</f>
        <v/>
      </c>
      <c r="H8" s="33">
        <f>IF(H4&gt;=P2_COD,P2_MW,0)</f>
        <v/>
      </c>
      <c r="I8" s="33">
        <f>IF(I4&gt;=P2_COD,P2_MW,0)</f>
        <v/>
      </c>
      <c r="J8" s="33">
        <f>IF(J4&gt;=P2_COD,P2_MW,0)</f>
        <v/>
      </c>
      <c r="K8" s="33">
        <f>IF(K4&gt;=P2_COD,P2_MW,0)</f>
        <v/>
      </c>
      <c r="L8" s="33">
        <f>IF(L4&gt;=P2_COD,P2_MW,0)</f>
        <v/>
      </c>
      <c r="M8" s="33">
        <f>IF(M4&gt;=P2_COD,P2_MW,0)</f>
        <v/>
      </c>
      <c r="N8" s="33">
        <f>IF(N4&gt;=P2_COD,P2_MW,0)</f>
        <v/>
      </c>
      <c r="O8" s="33">
        <f>IF(O4&gt;=P2_COD,P2_MW,0)</f>
        <v/>
      </c>
      <c r="P8" s="33">
        <f>IF(P4&gt;=P2_COD,P2_MW,0)</f>
        <v/>
      </c>
      <c r="Q8" s="33">
        <f>IF(Q4&gt;=P2_COD,P2_MW,0)</f>
        <v/>
      </c>
      <c r="R8" s="33">
        <f>IF(R4&gt;=P2_COD,P2_MW,0)</f>
        <v/>
      </c>
      <c r="S8" s="33">
        <f>IF(S4&gt;=P2_COD,P2_MW,0)</f>
        <v/>
      </c>
    </row>
    <row r="9">
      <c r="B9" s="32" t="inlineStr">
        <is>
          <t xml:space="preserve">  Phase 3 MW online</t>
        </is>
      </c>
      <c r="C9" s="15" t="inlineStr">
        <is>
          <t>MW</t>
        </is>
      </c>
      <c r="D9" s="33">
        <f>IF(D4&gt;=P3_COD,P3_MW,0)</f>
        <v/>
      </c>
      <c r="E9" s="33">
        <f>IF(E4&gt;=P3_COD,P3_MW,0)</f>
        <v/>
      </c>
      <c r="F9" s="33">
        <f>IF(F4&gt;=P3_COD,P3_MW,0)</f>
        <v/>
      </c>
      <c r="G9" s="33">
        <f>IF(G4&gt;=P3_COD,P3_MW,0)</f>
        <v/>
      </c>
      <c r="H9" s="33">
        <f>IF(H4&gt;=P3_COD,P3_MW,0)</f>
        <v/>
      </c>
      <c r="I9" s="33">
        <f>IF(I4&gt;=P3_COD,P3_MW,0)</f>
        <v/>
      </c>
      <c r="J9" s="33">
        <f>IF(J4&gt;=P3_COD,P3_MW,0)</f>
        <v/>
      </c>
      <c r="K9" s="33">
        <f>IF(K4&gt;=P3_COD,P3_MW,0)</f>
        <v/>
      </c>
      <c r="L9" s="33">
        <f>IF(L4&gt;=P3_COD,P3_MW,0)</f>
        <v/>
      </c>
      <c r="M9" s="33">
        <f>IF(M4&gt;=P3_COD,P3_MW,0)</f>
        <v/>
      </c>
      <c r="N9" s="33">
        <f>IF(N4&gt;=P3_COD,P3_MW,0)</f>
        <v/>
      </c>
      <c r="O9" s="33">
        <f>IF(O4&gt;=P3_COD,P3_MW,0)</f>
        <v/>
      </c>
      <c r="P9" s="33">
        <f>IF(P4&gt;=P3_COD,P3_MW,0)</f>
        <v/>
      </c>
      <c r="Q9" s="33">
        <f>IF(Q4&gt;=P3_COD,P3_MW,0)</f>
        <v/>
      </c>
      <c r="R9" s="33">
        <f>IF(R4&gt;=P3_COD,P3_MW,0)</f>
        <v/>
      </c>
      <c r="S9" s="33">
        <f>IF(S4&gt;=P3_COD,P3_MW,0)</f>
        <v/>
      </c>
    </row>
    <row r="10">
      <c r="B10" s="34" t="inlineStr">
        <is>
          <t>Total MW Online</t>
        </is>
      </c>
      <c r="C10" s="15" t="inlineStr">
        <is>
          <t>MW</t>
        </is>
      </c>
      <c r="D10" s="35">
        <f>D7+D8+D9</f>
        <v/>
      </c>
      <c r="E10" s="35">
        <f>E7+E8+E9</f>
        <v/>
      </c>
      <c r="F10" s="35">
        <f>F7+F8+F9</f>
        <v/>
      </c>
      <c r="G10" s="35">
        <f>G7+G8+G9</f>
        <v/>
      </c>
      <c r="H10" s="35">
        <f>H7+H8+H9</f>
        <v/>
      </c>
      <c r="I10" s="35">
        <f>I7+I8+I9</f>
        <v/>
      </c>
      <c r="J10" s="35">
        <f>J7+J8+J9</f>
        <v/>
      </c>
      <c r="K10" s="35">
        <f>K7+K8+K9</f>
        <v/>
      </c>
      <c r="L10" s="35">
        <f>L7+L8+L9</f>
        <v/>
      </c>
      <c r="M10" s="35">
        <f>M7+M8+M9</f>
        <v/>
      </c>
      <c r="N10" s="35">
        <f>N7+N8+N9</f>
        <v/>
      </c>
      <c r="O10" s="35">
        <f>O7+O8+O9</f>
        <v/>
      </c>
      <c r="P10" s="35">
        <f>P7+P8+P9</f>
        <v/>
      </c>
      <c r="Q10" s="35">
        <f>Q7+Q8+Q9</f>
        <v/>
      </c>
      <c r="R10" s="35">
        <f>R7+R8+R9</f>
        <v/>
      </c>
      <c r="S10" s="35">
        <f>S7+S8+S9</f>
        <v/>
      </c>
    </row>
    <row r="11">
      <c r="B11" s="32" t="inlineStr">
        <is>
          <t xml:space="preserve">  Utilisation (blended)</t>
        </is>
      </c>
      <c r="C11" s="15" t="inlineStr">
        <is>
          <t>%</t>
        </is>
      </c>
      <c r="D11" s="36">
        <f>IF(D4&lt;P1_COD,0,IF(D4-P1_COD=0,Util_Y1,IF(D4-P1_COD=1,Util_Y2,Util_Stab)))</f>
        <v/>
      </c>
      <c r="E11" s="36">
        <f>IF(E4&lt;P1_COD,0,IF(E4-P1_COD=0,Util_Y1,IF(E4-P1_COD=1,Util_Y2,Util_Stab)))</f>
        <v/>
      </c>
      <c r="F11" s="36">
        <f>IF(F4&lt;P1_COD,0,IF(F4-P1_COD=0,Util_Y1,IF(F4-P1_COD=1,Util_Y2,Util_Stab)))</f>
        <v/>
      </c>
      <c r="G11" s="36">
        <f>IF(G4&lt;P1_COD,0,IF(G4-P1_COD=0,Util_Y1,IF(G4-P1_COD=1,Util_Y2,Util_Stab)))</f>
        <v/>
      </c>
      <c r="H11" s="36">
        <f>IF(H4&lt;P1_COD,0,IF(H4-P1_COD=0,Util_Y1,IF(H4-P1_COD=1,Util_Y2,Util_Stab)))</f>
        <v/>
      </c>
      <c r="I11" s="36">
        <f>IF(I4&lt;P1_COD,0,IF(I4-P1_COD=0,Util_Y1,IF(I4-P1_COD=1,Util_Y2,Util_Stab)))</f>
        <v/>
      </c>
      <c r="J11" s="36">
        <f>IF(J4&lt;P1_COD,0,IF(J4-P1_COD=0,Util_Y1,IF(J4-P1_COD=1,Util_Y2,Util_Stab)))</f>
        <v/>
      </c>
      <c r="K11" s="36">
        <f>IF(K4&lt;P1_COD,0,IF(K4-P1_COD=0,Util_Y1,IF(K4-P1_COD=1,Util_Y2,Util_Stab)))</f>
        <v/>
      </c>
      <c r="L11" s="36">
        <f>IF(L4&lt;P1_COD,0,IF(L4-P1_COD=0,Util_Y1,IF(L4-P1_COD=1,Util_Y2,Util_Stab)))</f>
        <v/>
      </c>
      <c r="M11" s="36">
        <f>IF(M4&lt;P1_COD,0,IF(M4-P1_COD=0,Util_Y1,IF(M4-P1_COD=1,Util_Y2,Util_Stab)))</f>
        <v/>
      </c>
      <c r="N11" s="36">
        <f>IF(N4&lt;P1_COD,0,IF(N4-P1_COD=0,Util_Y1,IF(N4-P1_COD=1,Util_Y2,Util_Stab)))</f>
        <v/>
      </c>
      <c r="O11" s="36">
        <f>IF(O4&lt;P1_COD,0,IF(O4-P1_COD=0,Util_Y1,IF(O4-P1_COD=1,Util_Y2,Util_Stab)))</f>
        <v/>
      </c>
      <c r="P11" s="36">
        <f>IF(P4&lt;P1_COD,0,IF(P4-P1_COD=0,Util_Y1,IF(P4-P1_COD=1,Util_Y2,Util_Stab)))</f>
        <v/>
      </c>
      <c r="Q11" s="36">
        <f>IF(Q4&lt;P1_COD,0,IF(Q4-P1_COD=0,Util_Y1,IF(Q4-P1_COD=1,Util_Y2,Util_Stab)))</f>
        <v/>
      </c>
      <c r="R11" s="36">
        <f>IF(R4&lt;P1_COD,0,IF(R4-P1_COD=0,Util_Y1,IF(R4-P1_COD=1,Util_Y2,Util_Stab)))</f>
        <v/>
      </c>
      <c r="S11" s="36">
        <f>IF(S4&lt;P1_COD,0,IF(S4-P1_COD=0,Util_Y1,IF(S4-P1_COD=1,Util_Y2,Util_Stab)))</f>
        <v/>
      </c>
    </row>
    <row r="13" ht="18" customHeight="1">
      <c r="B13" s="31" t="inlineStr">
        <is>
          <t xml:space="preserve">  REVENUE · 收入</t>
        </is>
      </c>
    </row>
    <row r="14">
      <c r="B14" s="34" t="inlineStr">
        <is>
          <t>Lease revenue</t>
        </is>
      </c>
      <c r="C14" s="15" t="inlineStr">
        <is>
          <t>USD M</t>
        </is>
      </c>
      <c r="D14" s="37">
        <f>IF(D4&lt;P1_COD,0,D10*1000*Lease_Rate*12*D11*(1+Escalator)^MAX(0,D4-P1_COD)/1000000)</f>
        <v/>
      </c>
      <c r="E14" s="37">
        <f>IF(E4&lt;P1_COD,0,E10*1000*Lease_Rate*12*E11*(1+Escalator)^MAX(0,E4-P1_COD)/1000000)</f>
        <v/>
      </c>
      <c r="F14" s="37">
        <f>IF(F4&lt;P1_COD,0,F10*1000*Lease_Rate*12*F11*(1+Escalator)^MAX(0,F4-P1_COD)/1000000)</f>
        <v/>
      </c>
      <c r="G14" s="37">
        <f>IF(G4&lt;P1_COD,0,G10*1000*Lease_Rate*12*G11*(1+Escalator)^MAX(0,G4-P1_COD)/1000000)</f>
        <v/>
      </c>
      <c r="H14" s="37">
        <f>IF(H4&lt;P1_COD,0,H10*1000*Lease_Rate*12*H11*(1+Escalator)^MAX(0,H4-P1_COD)/1000000)</f>
        <v/>
      </c>
      <c r="I14" s="37">
        <f>IF(I4&lt;P1_COD,0,I10*1000*Lease_Rate*12*I11*(1+Escalator)^MAX(0,I4-P1_COD)/1000000)</f>
        <v/>
      </c>
      <c r="J14" s="37">
        <f>IF(J4&lt;P1_COD,0,J10*1000*Lease_Rate*12*J11*(1+Escalator)^MAX(0,J4-P1_COD)/1000000)</f>
        <v/>
      </c>
      <c r="K14" s="37">
        <f>IF(K4&lt;P1_COD,0,K10*1000*Lease_Rate*12*K11*(1+Escalator)^MAX(0,K4-P1_COD)/1000000)</f>
        <v/>
      </c>
      <c r="L14" s="37">
        <f>IF(L4&lt;P1_COD,0,L10*1000*Lease_Rate*12*L11*(1+Escalator)^MAX(0,L4-P1_COD)/1000000)</f>
        <v/>
      </c>
      <c r="M14" s="37">
        <f>IF(M4&lt;P1_COD,0,M10*1000*Lease_Rate*12*M11*(1+Escalator)^MAX(0,M4-P1_COD)/1000000)</f>
        <v/>
      </c>
      <c r="N14" s="37">
        <f>IF(N4&lt;P1_COD,0,N10*1000*Lease_Rate*12*N11*(1+Escalator)^MAX(0,N4-P1_COD)/1000000)</f>
        <v/>
      </c>
      <c r="O14" s="37">
        <f>IF(O4&lt;P1_COD,0,O10*1000*Lease_Rate*12*O11*(1+Escalator)^MAX(0,O4-P1_COD)/1000000)</f>
        <v/>
      </c>
      <c r="P14" s="37">
        <f>IF(P4&lt;P1_COD,0,P10*1000*Lease_Rate*12*P11*(1+Escalator)^MAX(0,P4-P1_COD)/1000000)</f>
        <v/>
      </c>
      <c r="Q14" s="37">
        <f>IF(Q4&lt;P1_COD,0,Q10*1000*Lease_Rate*12*Q11*(1+Escalator)^MAX(0,Q4-P1_COD)/1000000)</f>
        <v/>
      </c>
      <c r="R14" s="37">
        <f>IF(R4&lt;P1_COD,0,R10*1000*Lease_Rate*12*R11*(1+Escalator)^MAX(0,R4-P1_COD)/1000000)</f>
        <v/>
      </c>
      <c r="S14" s="37">
        <f>IF(S4&lt;P1_COD,0,S10*1000*Lease_Rate*12*S11*(1+Escalator)^MAX(0,S4-P1_COD)/1000000)</f>
        <v/>
      </c>
    </row>
    <row r="16" ht="18" customHeight="1">
      <c r="B16" s="31" t="inlineStr">
        <is>
          <t xml:space="preserve">  OPERATING COSTS · 运营成本</t>
        </is>
      </c>
    </row>
    <row r="17">
      <c r="B17" s="32" t="inlineStr">
        <is>
          <t xml:space="preserve">  Power cost</t>
        </is>
      </c>
      <c r="C17" s="15" t="inlineStr">
        <is>
          <t>USD M</t>
        </is>
      </c>
      <c r="D17" s="38">
        <f>IF(D4&lt;P1_COD,0,-D10*1000*PUE*Load_Factor*8760*Energy_Cost*D11/1000000)</f>
        <v/>
      </c>
      <c r="E17" s="38">
        <f>IF(E4&lt;P1_COD,0,-E10*1000*PUE*Load_Factor*8760*Energy_Cost*E11/1000000)</f>
        <v/>
      </c>
      <c r="F17" s="38">
        <f>IF(F4&lt;P1_COD,0,-F10*1000*PUE*Load_Factor*8760*Energy_Cost*F11/1000000)</f>
        <v/>
      </c>
      <c r="G17" s="38">
        <f>IF(G4&lt;P1_COD,0,-G10*1000*PUE*Load_Factor*8760*Energy_Cost*G11/1000000)</f>
        <v/>
      </c>
      <c r="H17" s="38">
        <f>IF(H4&lt;P1_COD,0,-H10*1000*PUE*Load_Factor*8760*Energy_Cost*H11/1000000)</f>
        <v/>
      </c>
      <c r="I17" s="38">
        <f>IF(I4&lt;P1_COD,0,-I10*1000*PUE*Load_Factor*8760*Energy_Cost*I11/1000000)</f>
        <v/>
      </c>
      <c r="J17" s="38">
        <f>IF(J4&lt;P1_COD,0,-J10*1000*PUE*Load_Factor*8760*Energy_Cost*J11/1000000)</f>
        <v/>
      </c>
      <c r="K17" s="38">
        <f>IF(K4&lt;P1_COD,0,-K10*1000*PUE*Load_Factor*8760*Energy_Cost*K11/1000000)</f>
        <v/>
      </c>
      <c r="L17" s="38">
        <f>IF(L4&lt;P1_COD,0,-L10*1000*PUE*Load_Factor*8760*Energy_Cost*L11/1000000)</f>
        <v/>
      </c>
      <c r="M17" s="38">
        <f>IF(M4&lt;P1_COD,0,-M10*1000*PUE*Load_Factor*8760*Energy_Cost*M11/1000000)</f>
        <v/>
      </c>
      <c r="N17" s="38">
        <f>IF(N4&lt;P1_COD,0,-N10*1000*PUE*Load_Factor*8760*Energy_Cost*N11/1000000)</f>
        <v/>
      </c>
      <c r="O17" s="38">
        <f>IF(O4&lt;P1_COD,0,-O10*1000*PUE*Load_Factor*8760*Energy_Cost*O11/1000000)</f>
        <v/>
      </c>
      <c r="P17" s="38">
        <f>IF(P4&lt;P1_COD,0,-P10*1000*PUE*Load_Factor*8760*Energy_Cost*P11/1000000)</f>
        <v/>
      </c>
      <c r="Q17" s="38">
        <f>IF(Q4&lt;P1_COD,0,-Q10*1000*PUE*Load_Factor*8760*Energy_Cost*Q11/1000000)</f>
        <v/>
      </c>
      <c r="R17" s="38">
        <f>IF(R4&lt;P1_COD,0,-R10*1000*PUE*Load_Factor*8760*Energy_Cost*R11/1000000)</f>
        <v/>
      </c>
      <c r="S17" s="38">
        <f>IF(S4&lt;P1_COD,0,-S10*1000*PUE*Load_Factor*8760*Energy_Cost*S11/1000000)</f>
        <v/>
      </c>
    </row>
    <row r="18">
      <c r="B18" s="32" t="inlineStr">
        <is>
          <t xml:space="preserve">  O&amp;M (% of revenue)</t>
        </is>
      </c>
      <c r="C18" s="15" t="inlineStr">
        <is>
          <t>USD M</t>
        </is>
      </c>
      <c r="D18" s="38">
        <f>-D14*OM_Pct</f>
        <v/>
      </c>
      <c r="E18" s="38">
        <f>-E14*OM_Pct</f>
        <v/>
      </c>
      <c r="F18" s="38">
        <f>-F14*OM_Pct</f>
        <v/>
      </c>
      <c r="G18" s="38">
        <f>-G14*OM_Pct</f>
        <v/>
      </c>
      <c r="H18" s="38">
        <f>-H14*OM_Pct</f>
        <v/>
      </c>
      <c r="I18" s="38">
        <f>-I14*OM_Pct</f>
        <v/>
      </c>
      <c r="J18" s="38">
        <f>-J14*OM_Pct</f>
        <v/>
      </c>
      <c r="K18" s="38">
        <f>-K14*OM_Pct</f>
        <v/>
      </c>
      <c r="L18" s="38">
        <f>-L14*OM_Pct</f>
        <v/>
      </c>
      <c r="M18" s="38">
        <f>-M14*OM_Pct</f>
        <v/>
      </c>
      <c r="N18" s="38">
        <f>-N14*OM_Pct</f>
        <v/>
      </c>
      <c r="O18" s="38">
        <f>-O14*OM_Pct</f>
        <v/>
      </c>
      <c r="P18" s="38">
        <f>-P14*OM_Pct</f>
        <v/>
      </c>
      <c r="Q18" s="38">
        <f>-Q14*OM_Pct</f>
        <v/>
      </c>
      <c r="R18" s="38">
        <f>-R14*OM_Pct</f>
        <v/>
      </c>
      <c r="S18" s="38">
        <f>-S14*OM_Pct</f>
        <v/>
      </c>
    </row>
    <row r="19">
      <c r="B19" s="32" t="inlineStr">
        <is>
          <t xml:space="preserve">  Property tax + insurance (% of cumulative CAPEX)</t>
        </is>
      </c>
      <c r="C19" s="15" t="inlineStr">
        <is>
          <t>USD M</t>
        </is>
      </c>
      <c r="D19" s="38">
        <f>-((IF(D4&gt;=P1_COD,P1_CAPEX,0)+IF(D4&gt;=P2_COD,P2_CAPEX,0)+IF(D4&gt;=P3_COD,P3_CAPEX,0))*PropTax_Pct)</f>
        <v/>
      </c>
      <c r="E19" s="38">
        <f>-((IF(E4&gt;=P1_COD,P1_CAPEX,0)+IF(E4&gt;=P2_COD,P2_CAPEX,0)+IF(E4&gt;=P3_COD,P3_CAPEX,0))*PropTax_Pct)</f>
        <v/>
      </c>
      <c r="F19" s="38">
        <f>-((IF(F4&gt;=P1_COD,P1_CAPEX,0)+IF(F4&gt;=P2_COD,P2_CAPEX,0)+IF(F4&gt;=P3_COD,P3_CAPEX,0))*PropTax_Pct)</f>
        <v/>
      </c>
      <c r="G19" s="38">
        <f>-((IF(G4&gt;=P1_COD,P1_CAPEX,0)+IF(G4&gt;=P2_COD,P2_CAPEX,0)+IF(G4&gt;=P3_COD,P3_CAPEX,0))*PropTax_Pct)</f>
        <v/>
      </c>
      <c r="H19" s="38">
        <f>-((IF(H4&gt;=P1_COD,P1_CAPEX,0)+IF(H4&gt;=P2_COD,P2_CAPEX,0)+IF(H4&gt;=P3_COD,P3_CAPEX,0))*PropTax_Pct)</f>
        <v/>
      </c>
      <c r="I19" s="38">
        <f>-((IF(I4&gt;=P1_COD,P1_CAPEX,0)+IF(I4&gt;=P2_COD,P2_CAPEX,0)+IF(I4&gt;=P3_COD,P3_CAPEX,0))*PropTax_Pct)</f>
        <v/>
      </c>
      <c r="J19" s="38">
        <f>-((IF(J4&gt;=P1_COD,P1_CAPEX,0)+IF(J4&gt;=P2_COD,P2_CAPEX,0)+IF(J4&gt;=P3_COD,P3_CAPEX,0))*PropTax_Pct)</f>
        <v/>
      </c>
      <c r="K19" s="38">
        <f>-((IF(K4&gt;=P1_COD,P1_CAPEX,0)+IF(K4&gt;=P2_COD,P2_CAPEX,0)+IF(K4&gt;=P3_COD,P3_CAPEX,0))*PropTax_Pct)</f>
        <v/>
      </c>
      <c r="L19" s="38">
        <f>-((IF(L4&gt;=P1_COD,P1_CAPEX,0)+IF(L4&gt;=P2_COD,P2_CAPEX,0)+IF(L4&gt;=P3_COD,P3_CAPEX,0))*PropTax_Pct)</f>
        <v/>
      </c>
      <c r="M19" s="38">
        <f>-((IF(M4&gt;=P1_COD,P1_CAPEX,0)+IF(M4&gt;=P2_COD,P2_CAPEX,0)+IF(M4&gt;=P3_COD,P3_CAPEX,0))*PropTax_Pct)</f>
        <v/>
      </c>
      <c r="N19" s="38">
        <f>-((IF(N4&gt;=P1_COD,P1_CAPEX,0)+IF(N4&gt;=P2_COD,P2_CAPEX,0)+IF(N4&gt;=P3_COD,P3_CAPEX,0))*PropTax_Pct)</f>
        <v/>
      </c>
      <c r="O19" s="38">
        <f>-((IF(O4&gt;=P1_COD,P1_CAPEX,0)+IF(O4&gt;=P2_COD,P2_CAPEX,0)+IF(O4&gt;=P3_COD,P3_CAPEX,0))*PropTax_Pct)</f>
        <v/>
      </c>
      <c r="P19" s="38">
        <f>-((IF(P4&gt;=P1_COD,P1_CAPEX,0)+IF(P4&gt;=P2_COD,P2_CAPEX,0)+IF(P4&gt;=P3_COD,P3_CAPEX,0))*PropTax_Pct)</f>
        <v/>
      </c>
      <c r="Q19" s="38">
        <f>-((IF(Q4&gt;=P1_COD,P1_CAPEX,0)+IF(Q4&gt;=P2_COD,P2_CAPEX,0)+IF(Q4&gt;=P3_COD,P3_CAPEX,0))*PropTax_Pct)</f>
        <v/>
      </c>
      <c r="R19" s="38">
        <f>-((IF(R4&gt;=P1_COD,P1_CAPEX,0)+IF(R4&gt;=P2_COD,P2_CAPEX,0)+IF(R4&gt;=P3_COD,P3_CAPEX,0))*PropTax_Pct)</f>
        <v/>
      </c>
      <c r="S19" s="38">
        <f>-((IF(S4&gt;=P1_COD,P1_CAPEX,0)+IF(S4&gt;=P2_COD,P2_CAPEX,0)+IF(S4&gt;=P3_COD,P3_CAPEX,0))*PropTax_Pct)</f>
        <v/>
      </c>
    </row>
    <row r="20">
      <c r="B20" s="32" t="inlineStr">
        <is>
          <t xml:space="preserve">  Corporate SG&amp;A</t>
        </is>
      </c>
      <c r="C20" s="15" t="inlineStr">
        <is>
          <t>USD M</t>
        </is>
      </c>
      <c r="D20" s="38">
        <f>-D14*SGA_Pct</f>
        <v/>
      </c>
      <c r="E20" s="38">
        <f>-E14*SGA_Pct</f>
        <v/>
      </c>
      <c r="F20" s="38">
        <f>-F14*SGA_Pct</f>
        <v/>
      </c>
      <c r="G20" s="38">
        <f>-G14*SGA_Pct</f>
        <v/>
      </c>
      <c r="H20" s="38">
        <f>-H14*SGA_Pct</f>
        <v/>
      </c>
      <c r="I20" s="38">
        <f>-I14*SGA_Pct</f>
        <v/>
      </c>
      <c r="J20" s="38">
        <f>-J14*SGA_Pct</f>
        <v/>
      </c>
      <c r="K20" s="38">
        <f>-K14*SGA_Pct</f>
        <v/>
      </c>
      <c r="L20" s="38">
        <f>-L14*SGA_Pct</f>
        <v/>
      </c>
      <c r="M20" s="38">
        <f>-M14*SGA_Pct</f>
        <v/>
      </c>
      <c r="N20" s="38">
        <f>-N14*SGA_Pct</f>
        <v/>
      </c>
      <c r="O20" s="38">
        <f>-O14*SGA_Pct</f>
        <v/>
      </c>
      <c r="P20" s="38">
        <f>-P14*SGA_Pct</f>
        <v/>
      </c>
      <c r="Q20" s="38">
        <f>-Q14*SGA_Pct</f>
        <v/>
      </c>
      <c r="R20" s="38">
        <f>-R14*SGA_Pct</f>
        <v/>
      </c>
      <c r="S20" s="38">
        <f>-S14*SGA_Pct</f>
        <v/>
      </c>
    </row>
    <row r="21">
      <c r="B21" s="34" t="inlineStr">
        <is>
          <t>Total OPEX</t>
        </is>
      </c>
      <c r="C21" s="15" t="inlineStr">
        <is>
          <t>USD M</t>
        </is>
      </c>
      <c r="D21" s="37">
        <f>D17+D18+D19+D20</f>
        <v/>
      </c>
      <c r="E21" s="37">
        <f>E17+E18+E19+E20</f>
        <v/>
      </c>
      <c r="F21" s="37">
        <f>F17+F18+F19+F20</f>
        <v/>
      </c>
      <c r="G21" s="37">
        <f>G17+G18+G19+G20</f>
        <v/>
      </c>
      <c r="H21" s="37">
        <f>H17+H18+H19+H20</f>
        <v/>
      </c>
      <c r="I21" s="37">
        <f>I17+I18+I19+I20</f>
        <v/>
      </c>
      <c r="J21" s="37">
        <f>J17+J18+J19+J20</f>
        <v/>
      </c>
      <c r="K21" s="37">
        <f>K17+K18+K19+K20</f>
        <v/>
      </c>
      <c r="L21" s="37">
        <f>L17+L18+L19+L20</f>
        <v/>
      </c>
      <c r="M21" s="37">
        <f>M17+M18+M19+M20</f>
        <v/>
      </c>
      <c r="N21" s="37">
        <f>N17+N18+N19+N20</f>
        <v/>
      </c>
      <c r="O21" s="37">
        <f>O17+O18+O19+O20</f>
        <v/>
      </c>
      <c r="P21" s="37">
        <f>P17+P18+P19+P20</f>
        <v/>
      </c>
      <c r="Q21" s="37">
        <f>Q17+Q18+Q19+Q20</f>
        <v/>
      </c>
      <c r="R21" s="37">
        <f>R17+R18+R19+R20</f>
        <v/>
      </c>
      <c r="S21" s="37">
        <f>S17+S18+S19+S20</f>
        <v/>
      </c>
    </row>
    <row r="23" ht="18" customHeight="1">
      <c r="B23" s="31" t="inlineStr">
        <is>
          <t xml:space="preserve">  EBITDA</t>
        </is>
      </c>
    </row>
    <row r="24">
      <c r="B24" s="39" t="inlineStr">
        <is>
          <t>EBITDA</t>
        </is>
      </c>
      <c r="C24" s="15" t="inlineStr">
        <is>
          <t>USD M</t>
        </is>
      </c>
      <c r="D24" s="40">
        <f>D14+D21</f>
        <v/>
      </c>
      <c r="E24" s="40">
        <f>E14+E21</f>
        <v/>
      </c>
      <c r="F24" s="40">
        <f>F14+F21</f>
        <v/>
      </c>
      <c r="G24" s="40">
        <f>G14+G21</f>
        <v/>
      </c>
      <c r="H24" s="40">
        <f>H14+H21</f>
        <v/>
      </c>
      <c r="I24" s="40">
        <f>I14+I21</f>
        <v/>
      </c>
      <c r="J24" s="40">
        <f>J14+J21</f>
        <v/>
      </c>
      <c r="K24" s="40">
        <f>K14+K21</f>
        <v/>
      </c>
      <c r="L24" s="40">
        <f>L14+L21</f>
        <v/>
      </c>
      <c r="M24" s="40">
        <f>M14+M21</f>
        <v/>
      </c>
      <c r="N24" s="40">
        <f>N14+N21</f>
        <v/>
      </c>
      <c r="O24" s="40">
        <f>O14+O21</f>
        <v/>
      </c>
      <c r="P24" s="40">
        <f>P14+P21</f>
        <v/>
      </c>
      <c r="Q24" s="40">
        <f>Q14+Q21</f>
        <v/>
      </c>
      <c r="R24" s="40">
        <f>R14+R21</f>
        <v/>
      </c>
      <c r="S24" s="40">
        <f>S14+S21</f>
        <v/>
      </c>
    </row>
    <row r="25">
      <c r="B25" s="32" t="inlineStr">
        <is>
          <t>EBITDA margin</t>
        </is>
      </c>
      <c r="C25" s="15" t="inlineStr">
        <is>
          <t>%</t>
        </is>
      </c>
      <c r="D25" s="36">
        <f>IF(D14=0,0,D24/D14)</f>
        <v/>
      </c>
      <c r="E25" s="36">
        <f>IF(E14=0,0,E24/E14)</f>
        <v/>
      </c>
      <c r="F25" s="36">
        <f>IF(F14=0,0,F24/F14)</f>
        <v/>
      </c>
      <c r="G25" s="36">
        <f>IF(G14=0,0,G24/G14)</f>
        <v/>
      </c>
      <c r="H25" s="36">
        <f>IF(H14=0,0,H24/H14)</f>
        <v/>
      </c>
      <c r="I25" s="36">
        <f>IF(I14=0,0,I24/I14)</f>
        <v/>
      </c>
      <c r="J25" s="36">
        <f>IF(J14=0,0,J24/J14)</f>
        <v/>
      </c>
      <c r="K25" s="36">
        <f>IF(K14=0,0,K24/K14)</f>
        <v/>
      </c>
      <c r="L25" s="36">
        <f>IF(L14=0,0,L24/L14)</f>
        <v/>
      </c>
      <c r="M25" s="36">
        <f>IF(M14=0,0,M24/M14)</f>
        <v/>
      </c>
      <c r="N25" s="36">
        <f>IF(N14=0,0,N24/N14)</f>
        <v/>
      </c>
      <c r="O25" s="36">
        <f>IF(O14=0,0,O24/O14)</f>
        <v/>
      </c>
      <c r="P25" s="36">
        <f>IF(P14=0,0,P24/P14)</f>
        <v/>
      </c>
      <c r="Q25" s="36">
        <f>IF(Q14=0,0,Q24/Q14)</f>
        <v/>
      </c>
      <c r="R25" s="36">
        <f>IF(R14=0,0,R24/R14)</f>
        <v/>
      </c>
      <c r="S25" s="36">
        <f>IF(S14=0,0,S24/S14)</f>
        <v/>
      </c>
    </row>
    <row r="27" ht="18" customHeight="1">
      <c r="B27" s="31" t="inlineStr">
        <is>
          <t xml:space="preserve">  D&amp;A, EBIT, INTEREST · 折旧摊销、EBIT、利息</t>
        </is>
      </c>
    </row>
    <row r="28">
      <c r="B28" s="32" t="inlineStr">
        <is>
          <t xml:space="preserve">  Depreciation &amp; Amortisation</t>
        </is>
      </c>
      <c r="C28" s="15" t="inlineStr">
        <is>
          <t>USD M</t>
        </is>
      </c>
      <c r="D28" s="38">
        <f>-((IF(AND(D4&gt;=P1_COD,D4&lt;P1_COD+Depr_Years),P1_CAPEX/Depr_Years,0))+(IF(AND(D4&gt;=P2_COD,D4&lt;P2_COD+Depr_Years),P2_CAPEX/Depr_Years,0))+(IF(AND(D4&gt;=P3_COD,D4&lt;P3_COD+Depr_Years),P3_CAPEX/Depr_Years,0)))</f>
        <v/>
      </c>
      <c r="E28" s="38">
        <f>-((IF(AND(E4&gt;=P1_COD,E4&lt;P1_COD+Depr_Years),P1_CAPEX/Depr_Years,0))+(IF(AND(E4&gt;=P2_COD,E4&lt;P2_COD+Depr_Years),P2_CAPEX/Depr_Years,0))+(IF(AND(E4&gt;=P3_COD,E4&lt;P3_COD+Depr_Years),P3_CAPEX/Depr_Years,0)))</f>
        <v/>
      </c>
      <c r="F28" s="38">
        <f>-((IF(AND(F4&gt;=P1_COD,F4&lt;P1_COD+Depr_Years),P1_CAPEX/Depr_Years,0))+(IF(AND(F4&gt;=P2_COD,F4&lt;P2_COD+Depr_Years),P2_CAPEX/Depr_Years,0))+(IF(AND(F4&gt;=P3_COD,F4&lt;P3_COD+Depr_Years),P3_CAPEX/Depr_Years,0)))</f>
        <v/>
      </c>
      <c r="G28" s="38">
        <f>-((IF(AND(G4&gt;=P1_COD,G4&lt;P1_COD+Depr_Years),P1_CAPEX/Depr_Years,0))+(IF(AND(G4&gt;=P2_COD,G4&lt;P2_COD+Depr_Years),P2_CAPEX/Depr_Years,0))+(IF(AND(G4&gt;=P3_COD,G4&lt;P3_COD+Depr_Years),P3_CAPEX/Depr_Years,0)))</f>
        <v/>
      </c>
      <c r="H28" s="38">
        <f>-((IF(AND(H4&gt;=P1_COD,H4&lt;P1_COD+Depr_Years),P1_CAPEX/Depr_Years,0))+(IF(AND(H4&gt;=P2_COD,H4&lt;P2_COD+Depr_Years),P2_CAPEX/Depr_Years,0))+(IF(AND(H4&gt;=P3_COD,H4&lt;P3_COD+Depr_Years),P3_CAPEX/Depr_Years,0)))</f>
        <v/>
      </c>
      <c r="I28" s="38">
        <f>-((IF(AND(I4&gt;=P1_COD,I4&lt;P1_COD+Depr_Years),P1_CAPEX/Depr_Years,0))+(IF(AND(I4&gt;=P2_COD,I4&lt;P2_COD+Depr_Years),P2_CAPEX/Depr_Years,0))+(IF(AND(I4&gt;=P3_COD,I4&lt;P3_COD+Depr_Years),P3_CAPEX/Depr_Years,0)))</f>
        <v/>
      </c>
      <c r="J28" s="38">
        <f>-((IF(AND(J4&gt;=P1_COD,J4&lt;P1_COD+Depr_Years),P1_CAPEX/Depr_Years,0))+(IF(AND(J4&gt;=P2_COD,J4&lt;P2_COD+Depr_Years),P2_CAPEX/Depr_Years,0))+(IF(AND(J4&gt;=P3_COD,J4&lt;P3_COD+Depr_Years),P3_CAPEX/Depr_Years,0)))</f>
        <v/>
      </c>
      <c r="K28" s="38">
        <f>-((IF(AND(K4&gt;=P1_COD,K4&lt;P1_COD+Depr_Years),P1_CAPEX/Depr_Years,0))+(IF(AND(K4&gt;=P2_COD,K4&lt;P2_COD+Depr_Years),P2_CAPEX/Depr_Years,0))+(IF(AND(K4&gt;=P3_COD,K4&lt;P3_COD+Depr_Years),P3_CAPEX/Depr_Years,0)))</f>
        <v/>
      </c>
      <c r="L28" s="38">
        <f>-((IF(AND(L4&gt;=P1_COD,L4&lt;P1_COD+Depr_Years),P1_CAPEX/Depr_Years,0))+(IF(AND(L4&gt;=P2_COD,L4&lt;P2_COD+Depr_Years),P2_CAPEX/Depr_Years,0))+(IF(AND(L4&gt;=P3_COD,L4&lt;P3_COD+Depr_Years),P3_CAPEX/Depr_Years,0)))</f>
        <v/>
      </c>
      <c r="M28" s="38">
        <f>-((IF(AND(M4&gt;=P1_COD,M4&lt;P1_COD+Depr_Years),P1_CAPEX/Depr_Years,0))+(IF(AND(M4&gt;=P2_COD,M4&lt;P2_COD+Depr_Years),P2_CAPEX/Depr_Years,0))+(IF(AND(M4&gt;=P3_COD,M4&lt;P3_COD+Depr_Years),P3_CAPEX/Depr_Years,0)))</f>
        <v/>
      </c>
      <c r="N28" s="38">
        <f>-((IF(AND(N4&gt;=P1_COD,N4&lt;P1_COD+Depr_Years),P1_CAPEX/Depr_Years,0))+(IF(AND(N4&gt;=P2_COD,N4&lt;P2_COD+Depr_Years),P2_CAPEX/Depr_Years,0))+(IF(AND(N4&gt;=P3_COD,N4&lt;P3_COD+Depr_Years),P3_CAPEX/Depr_Years,0)))</f>
        <v/>
      </c>
      <c r="O28" s="38">
        <f>-((IF(AND(O4&gt;=P1_COD,O4&lt;P1_COD+Depr_Years),P1_CAPEX/Depr_Years,0))+(IF(AND(O4&gt;=P2_COD,O4&lt;P2_COD+Depr_Years),P2_CAPEX/Depr_Years,0))+(IF(AND(O4&gt;=P3_COD,O4&lt;P3_COD+Depr_Years),P3_CAPEX/Depr_Years,0)))</f>
        <v/>
      </c>
      <c r="P28" s="38">
        <f>-((IF(AND(P4&gt;=P1_COD,P4&lt;P1_COD+Depr_Years),P1_CAPEX/Depr_Years,0))+(IF(AND(P4&gt;=P2_COD,P4&lt;P2_COD+Depr_Years),P2_CAPEX/Depr_Years,0))+(IF(AND(P4&gt;=P3_COD,P4&lt;P3_COD+Depr_Years),P3_CAPEX/Depr_Years,0)))</f>
        <v/>
      </c>
      <c r="Q28" s="38">
        <f>-((IF(AND(Q4&gt;=P1_COD,Q4&lt;P1_COD+Depr_Years),P1_CAPEX/Depr_Years,0))+(IF(AND(Q4&gt;=P2_COD,Q4&lt;P2_COD+Depr_Years),P2_CAPEX/Depr_Years,0))+(IF(AND(Q4&gt;=P3_COD,Q4&lt;P3_COD+Depr_Years),P3_CAPEX/Depr_Years,0)))</f>
        <v/>
      </c>
      <c r="R28" s="38">
        <f>-((IF(AND(R4&gt;=P1_COD,R4&lt;P1_COD+Depr_Years),P1_CAPEX/Depr_Years,0))+(IF(AND(R4&gt;=P2_COD,R4&lt;P2_COD+Depr_Years),P2_CAPEX/Depr_Years,0))+(IF(AND(R4&gt;=P3_COD,R4&lt;P3_COD+Depr_Years),P3_CAPEX/Depr_Years,0)))</f>
        <v/>
      </c>
      <c r="S28" s="38">
        <f>-((IF(AND(S4&gt;=P1_COD,S4&lt;P1_COD+Depr_Years),P1_CAPEX/Depr_Years,0))+(IF(AND(S4&gt;=P2_COD,S4&lt;P2_COD+Depr_Years),P2_CAPEX/Depr_Years,0))+(IF(AND(S4&gt;=P3_COD,S4&lt;P3_COD+Depr_Years),P3_CAPEX/Depr_Years,0)))</f>
        <v/>
      </c>
    </row>
    <row r="29">
      <c r="B29" s="34" t="inlineStr">
        <is>
          <t>EBIT</t>
        </is>
      </c>
      <c r="C29" s="15" t="inlineStr">
        <is>
          <t>USD M</t>
        </is>
      </c>
      <c r="D29" s="37">
        <f>D24+D28</f>
        <v/>
      </c>
      <c r="E29" s="37">
        <f>E24+E28</f>
        <v/>
      </c>
      <c r="F29" s="37">
        <f>F24+F28</f>
        <v/>
      </c>
      <c r="G29" s="37">
        <f>G24+G28</f>
        <v/>
      </c>
      <c r="H29" s="37">
        <f>H24+H28</f>
        <v/>
      </c>
      <c r="I29" s="37">
        <f>I24+I28</f>
        <v/>
      </c>
      <c r="J29" s="37">
        <f>J24+J28</f>
        <v/>
      </c>
      <c r="K29" s="37">
        <f>K24+K28</f>
        <v/>
      </c>
      <c r="L29" s="37">
        <f>L24+L28</f>
        <v/>
      </c>
      <c r="M29" s="37">
        <f>M24+M28</f>
        <v/>
      </c>
      <c r="N29" s="37">
        <f>N24+N28</f>
        <v/>
      </c>
      <c r="O29" s="37">
        <f>O24+O28</f>
        <v/>
      </c>
      <c r="P29" s="37">
        <f>P24+P28</f>
        <v/>
      </c>
      <c r="Q29" s="37">
        <f>Q24+Q28</f>
        <v/>
      </c>
      <c r="R29" s="37">
        <f>R24+R28</f>
        <v/>
      </c>
      <c r="S29" s="37">
        <f>S24+S28</f>
        <v/>
      </c>
    </row>
    <row r="30">
      <c r="B30" s="32" t="inlineStr">
        <is>
          <t xml:space="preserve">  Interest expense (approx.)</t>
        </is>
      </c>
      <c r="C30" s="15" t="inlineStr">
        <is>
          <t>USD M</t>
        </is>
      </c>
      <c r="D30" s="38">
        <f>-((IF(AND(D4&gt;=P1_COD,D4&lt;P1_COD+Debt_Tenor),P1_CAPEX*Debt_Ratio*Interest_Rate*(1-(D4-P1_COD)/Debt_Tenor/2),0))+(IF(AND(D4&gt;=P2_COD,D4&lt;P2_COD+Debt_Tenor),P2_CAPEX*Debt_Ratio*Interest_Rate*(1-(D4-P2_COD)/Debt_Tenor/2),0))+(IF(AND(D4&gt;=P3_COD,D4&lt;P3_COD+Debt_Tenor),P3_CAPEX*Debt_Ratio*Interest_Rate*(1-(D4-P3_COD)/Debt_Tenor/2),0)))</f>
        <v/>
      </c>
      <c r="E30" s="38">
        <f>-((IF(AND(E4&gt;=P1_COD,E4&lt;P1_COD+Debt_Tenor),P1_CAPEX*Debt_Ratio*Interest_Rate*(1-(E4-P1_COD)/Debt_Tenor/2),0))+(IF(AND(E4&gt;=P2_COD,E4&lt;P2_COD+Debt_Tenor),P2_CAPEX*Debt_Ratio*Interest_Rate*(1-(E4-P2_COD)/Debt_Tenor/2),0))+(IF(AND(E4&gt;=P3_COD,E4&lt;P3_COD+Debt_Tenor),P3_CAPEX*Debt_Ratio*Interest_Rate*(1-(E4-P3_COD)/Debt_Tenor/2),0)))</f>
        <v/>
      </c>
      <c r="F30" s="38">
        <f>-((IF(AND(F4&gt;=P1_COD,F4&lt;P1_COD+Debt_Tenor),P1_CAPEX*Debt_Ratio*Interest_Rate*(1-(F4-P1_COD)/Debt_Tenor/2),0))+(IF(AND(F4&gt;=P2_COD,F4&lt;P2_COD+Debt_Tenor),P2_CAPEX*Debt_Ratio*Interest_Rate*(1-(F4-P2_COD)/Debt_Tenor/2),0))+(IF(AND(F4&gt;=P3_COD,F4&lt;P3_COD+Debt_Tenor),P3_CAPEX*Debt_Ratio*Interest_Rate*(1-(F4-P3_COD)/Debt_Tenor/2),0)))</f>
        <v/>
      </c>
      <c r="G30" s="38">
        <f>-((IF(AND(G4&gt;=P1_COD,G4&lt;P1_COD+Debt_Tenor),P1_CAPEX*Debt_Ratio*Interest_Rate*(1-(G4-P1_COD)/Debt_Tenor/2),0))+(IF(AND(G4&gt;=P2_COD,G4&lt;P2_COD+Debt_Tenor),P2_CAPEX*Debt_Ratio*Interest_Rate*(1-(G4-P2_COD)/Debt_Tenor/2),0))+(IF(AND(G4&gt;=P3_COD,G4&lt;P3_COD+Debt_Tenor),P3_CAPEX*Debt_Ratio*Interest_Rate*(1-(G4-P3_COD)/Debt_Tenor/2),0)))</f>
        <v/>
      </c>
      <c r="H30" s="38">
        <f>-((IF(AND(H4&gt;=P1_COD,H4&lt;P1_COD+Debt_Tenor),P1_CAPEX*Debt_Ratio*Interest_Rate*(1-(H4-P1_COD)/Debt_Tenor/2),0))+(IF(AND(H4&gt;=P2_COD,H4&lt;P2_COD+Debt_Tenor),P2_CAPEX*Debt_Ratio*Interest_Rate*(1-(H4-P2_COD)/Debt_Tenor/2),0))+(IF(AND(H4&gt;=P3_COD,H4&lt;P3_COD+Debt_Tenor),P3_CAPEX*Debt_Ratio*Interest_Rate*(1-(H4-P3_COD)/Debt_Tenor/2),0)))</f>
        <v/>
      </c>
      <c r="I30" s="38">
        <f>-((IF(AND(I4&gt;=P1_COD,I4&lt;P1_COD+Debt_Tenor),P1_CAPEX*Debt_Ratio*Interest_Rate*(1-(I4-P1_COD)/Debt_Tenor/2),0))+(IF(AND(I4&gt;=P2_COD,I4&lt;P2_COD+Debt_Tenor),P2_CAPEX*Debt_Ratio*Interest_Rate*(1-(I4-P2_COD)/Debt_Tenor/2),0))+(IF(AND(I4&gt;=P3_COD,I4&lt;P3_COD+Debt_Tenor),P3_CAPEX*Debt_Ratio*Interest_Rate*(1-(I4-P3_COD)/Debt_Tenor/2),0)))</f>
        <v/>
      </c>
      <c r="J30" s="38">
        <f>-((IF(AND(J4&gt;=P1_COD,J4&lt;P1_COD+Debt_Tenor),P1_CAPEX*Debt_Ratio*Interest_Rate*(1-(J4-P1_COD)/Debt_Tenor/2),0))+(IF(AND(J4&gt;=P2_COD,J4&lt;P2_COD+Debt_Tenor),P2_CAPEX*Debt_Ratio*Interest_Rate*(1-(J4-P2_COD)/Debt_Tenor/2),0))+(IF(AND(J4&gt;=P3_COD,J4&lt;P3_COD+Debt_Tenor),P3_CAPEX*Debt_Ratio*Interest_Rate*(1-(J4-P3_COD)/Debt_Tenor/2),0)))</f>
        <v/>
      </c>
      <c r="K30" s="38">
        <f>-((IF(AND(K4&gt;=P1_COD,K4&lt;P1_COD+Debt_Tenor),P1_CAPEX*Debt_Ratio*Interest_Rate*(1-(K4-P1_COD)/Debt_Tenor/2),0))+(IF(AND(K4&gt;=P2_COD,K4&lt;P2_COD+Debt_Tenor),P2_CAPEX*Debt_Ratio*Interest_Rate*(1-(K4-P2_COD)/Debt_Tenor/2),0))+(IF(AND(K4&gt;=P3_COD,K4&lt;P3_COD+Debt_Tenor),P3_CAPEX*Debt_Ratio*Interest_Rate*(1-(K4-P3_COD)/Debt_Tenor/2),0)))</f>
        <v/>
      </c>
      <c r="L30" s="38">
        <f>-((IF(AND(L4&gt;=P1_COD,L4&lt;P1_COD+Debt_Tenor),P1_CAPEX*Debt_Ratio*Interest_Rate*(1-(L4-P1_COD)/Debt_Tenor/2),0))+(IF(AND(L4&gt;=P2_COD,L4&lt;P2_COD+Debt_Tenor),P2_CAPEX*Debt_Ratio*Interest_Rate*(1-(L4-P2_COD)/Debt_Tenor/2),0))+(IF(AND(L4&gt;=P3_COD,L4&lt;P3_COD+Debt_Tenor),P3_CAPEX*Debt_Ratio*Interest_Rate*(1-(L4-P3_COD)/Debt_Tenor/2),0)))</f>
        <v/>
      </c>
      <c r="M30" s="38">
        <f>-((IF(AND(M4&gt;=P1_COD,M4&lt;P1_COD+Debt_Tenor),P1_CAPEX*Debt_Ratio*Interest_Rate*(1-(M4-P1_COD)/Debt_Tenor/2),0))+(IF(AND(M4&gt;=P2_COD,M4&lt;P2_COD+Debt_Tenor),P2_CAPEX*Debt_Ratio*Interest_Rate*(1-(M4-P2_COD)/Debt_Tenor/2),0))+(IF(AND(M4&gt;=P3_COD,M4&lt;P3_COD+Debt_Tenor),P3_CAPEX*Debt_Ratio*Interest_Rate*(1-(M4-P3_COD)/Debt_Tenor/2),0)))</f>
        <v/>
      </c>
      <c r="N30" s="38">
        <f>-((IF(AND(N4&gt;=P1_COD,N4&lt;P1_COD+Debt_Tenor),P1_CAPEX*Debt_Ratio*Interest_Rate*(1-(N4-P1_COD)/Debt_Tenor/2),0))+(IF(AND(N4&gt;=P2_COD,N4&lt;P2_COD+Debt_Tenor),P2_CAPEX*Debt_Ratio*Interest_Rate*(1-(N4-P2_COD)/Debt_Tenor/2),0))+(IF(AND(N4&gt;=P3_COD,N4&lt;P3_COD+Debt_Tenor),P3_CAPEX*Debt_Ratio*Interest_Rate*(1-(N4-P3_COD)/Debt_Tenor/2),0)))</f>
        <v/>
      </c>
      <c r="O30" s="38">
        <f>-((IF(AND(O4&gt;=P1_COD,O4&lt;P1_COD+Debt_Tenor),P1_CAPEX*Debt_Ratio*Interest_Rate*(1-(O4-P1_COD)/Debt_Tenor/2),0))+(IF(AND(O4&gt;=P2_COD,O4&lt;P2_COD+Debt_Tenor),P2_CAPEX*Debt_Ratio*Interest_Rate*(1-(O4-P2_COD)/Debt_Tenor/2),0))+(IF(AND(O4&gt;=P3_COD,O4&lt;P3_COD+Debt_Tenor),P3_CAPEX*Debt_Ratio*Interest_Rate*(1-(O4-P3_COD)/Debt_Tenor/2),0)))</f>
        <v/>
      </c>
      <c r="P30" s="38">
        <f>-((IF(AND(P4&gt;=P1_COD,P4&lt;P1_COD+Debt_Tenor),P1_CAPEX*Debt_Ratio*Interest_Rate*(1-(P4-P1_COD)/Debt_Tenor/2),0))+(IF(AND(P4&gt;=P2_COD,P4&lt;P2_COD+Debt_Tenor),P2_CAPEX*Debt_Ratio*Interest_Rate*(1-(P4-P2_COD)/Debt_Tenor/2),0))+(IF(AND(P4&gt;=P3_COD,P4&lt;P3_COD+Debt_Tenor),P3_CAPEX*Debt_Ratio*Interest_Rate*(1-(P4-P3_COD)/Debt_Tenor/2),0)))</f>
        <v/>
      </c>
      <c r="Q30" s="38">
        <f>-((IF(AND(Q4&gt;=P1_COD,Q4&lt;P1_COD+Debt_Tenor),P1_CAPEX*Debt_Ratio*Interest_Rate*(1-(Q4-P1_COD)/Debt_Tenor/2),0))+(IF(AND(Q4&gt;=P2_COD,Q4&lt;P2_COD+Debt_Tenor),P2_CAPEX*Debt_Ratio*Interest_Rate*(1-(Q4-P2_COD)/Debt_Tenor/2),0))+(IF(AND(Q4&gt;=P3_COD,Q4&lt;P3_COD+Debt_Tenor),P3_CAPEX*Debt_Ratio*Interest_Rate*(1-(Q4-P3_COD)/Debt_Tenor/2),0)))</f>
        <v/>
      </c>
      <c r="R30" s="38">
        <f>-((IF(AND(R4&gt;=P1_COD,R4&lt;P1_COD+Debt_Tenor),P1_CAPEX*Debt_Ratio*Interest_Rate*(1-(R4-P1_COD)/Debt_Tenor/2),0))+(IF(AND(R4&gt;=P2_COD,R4&lt;P2_COD+Debt_Tenor),P2_CAPEX*Debt_Ratio*Interest_Rate*(1-(R4-P2_COD)/Debt_Tenor/2),0))+(IF(AND(R4&gt;=P3_COD,R4&lt;P3_COD+Debt_Tenor),P3_CAPEX*Debt_Ratio*Interest_Rate*(1-(R4-P3_COD)/Debt_Tenor/2),0)))</f>
        <v/>
      </c>
      <c r="S30" s="38">
        <f>-((IF(AND(S4&gt;=P1_COD,S4&lt;P1_COD+Debt_Tenor),P1_CAPEX*Debt_Ratio*Interest_Rate*(1-(S4-P1_COD)/Debt_Tenor/2),0))+(IF(AND(S4&gt;=P2_COD,S4&lt;P2_COD+Debt_Tenor),P2_CAPEX*Debt_Ratio*Interest_Rate*(1-(S4-P2_COD)/Debt_Tenor/2),0))+(IF(AND(S4&gt;=P3_COD,S4&lt;P3_COD+Debt_Tenor),P3_CAPEX*Debt_Ratio*Interest_Rate*(1-(S4-P3_COD)/Debt_Tenor/2),0)))</f>
        <v/>
      </c>
    </row>
    <row r="31">
      <c r="B31" s="34" t="inlineStr">
        <is>
          <t>Pre-tax profit</t>
        </is>
      </c>
      <c r="C31" s="15" t="inlineStr">
        <is>
          <t>USD M</t>
        </is>
      </c>
      <c r="D31" s="37">
        <f>D29+D30</f>
        <v/>
      </c>
      <c r="E31" s="37">
        <f>E29+E30</f>
        <v/>
      </c>
      <c r="F31" s="37">
        <f>F29+F30</f>
        <v/>
      </c>
      <c r="G31" s="37">
        <f>G29+G30</f>
        <v/>
      </c>
      <c r="H31" s="37">
        <f>H29+H30</f>
        <v/>
      </c>
      <c r="I31" s="37">
        <f>I29+I30</f>
        <v/>
      </c>
      <c r="J31" s="37">
        <f>J29+J30</f>
        <v/>
      </c>
      <c r="K31" s="37">
        <f>K29+K30</f>
        <v/>
      </c>
      <c r="L31" s="37">
        <f>L29+L30</f>
        <v/>
      </c>
      <c r="M31" s="37">
        <f>M29+M30</f>
        <v/>
      </c>
      <c r="N31" s="37">
        <f>N29+N30</f>
        <v/>
      </c>
      <c r="O31" s="37">
        <f>O29+O30</f>
        <v/>
      </c>
      <c r="P31" s="37">
        <f>P29+P30</f>
        <v/>
      </c>
      <c r="Q31" s="37">
        <f>Q29+Q30</f>
        <v/>
      </c>
      <c r="R31" s="37">
        <f>R29+R30</f>
        <v/>
      </c>
      <c r="S31" s="37">
        <f>S29+S30</f>
        <v/>
      </c>
    </row>
    <row r="33" ht="18" customHeight="1">
      <c r="B33" s="31" t="inlineStr">
        <is>
          <t xml:space="preserve">  TAX · 税</t>
        </is>
      </c>
    </row>
    <row r="34">
      <c r="B34" s="32" t="inlineStr">
        <is>
          <t xml:space="preserve">  Corporate income tax</t>
        </is>
      </c>
      <c r="C34" s="15" t="inlineStr">
        <is>
          <t>USD M</t>
        </is>
      </c>
      <c r="D34" s="38">
        <f>IF(D4&lt;=P1_COD+CIT_Holiday,0,IF(D31&gt;0,-D31*CIT_Rate,0))</f>
        <v/>
      </c>
      <c r="E34" s="38">
        <f>IF(E4&lt;=P1_COD+CIT_Holiday,0,IF(E31&gt;0,-E31*CIT_Rate,0))</f>
        <v/>
      </c>
      <c r="F34" s="38">
        <f>IF(F4&lt;=P1_COD+CIT_Holiday,0,IF(F31&gt;0,-F31*CIT_Rate,0))</f>
        <v/>
      </c>
      <c r="G34" s="38">
        <f>IF(G4&lt;=P1_COD+CIT_Holiday,0,IF(G31&gt;0,-G31*CIT_Rate,0))</f>
        <v/>
      </c>
      <c r="H34" s="38">
        <f>IF(H4&lt;=P1_COD+CIT_Holiday,0,IF(H31&gt;0,-H31*CIT_Rate,0))</f>
        <v/>
      </c>
      <c r="I34" s="38">
        <f>IF(I4&lt;=P1_COD+CIT_Holiday,0,IF(I31&gt;0,-I31*CIT_Rate,0))</f>
        <v/>
      </c>
      <c r="J34" s="38">
        <f>IF(J4&lt;=P1_COD+CIT_Holiday,0,IF(J31&gt;0,-J31*CIT_Rate,0))</f>
        <v/>
      </c>
      <c r="K34" s="38">
        <f>IF(K4&lt;=P1_COD+CIT_Holiday,0,IF(K31&gt;0,-K31*CIT_Rate,0))</f>
        <v/>
      </c>
      <c r="L34" s="38">
        <f>IF(L4&lt;=P1_COD+CIT_Holiday,0,IF(L31&gt;0,-L31*CIT_Rate,0))</f>
        <v/>
      </c>
      <c r="M34" s="38">
        <f>IF(M4&lt;=P1_COD+CIT_Holiday,0,IF(M31&gt;0,-M31*CIT_Rate,0))</f>
        <v/>
      </c>
      <c r="N34" s="38">
        <f>IF(N4&lt;=P1_COD+CIT_Holiday,0,IF(N31&gt;0,-N31*CIT_Rate,0))</f>
        <v/>
      </c>
      <c r="O34" s="38">
        <f>IF(O4&lt;=P1_COD+CIT_Holiday,0,IF(O31&gt;0,-O31*CIT_Rate,0))</f>
        <v/>
      </c>
      <c r="P34" s="38">
        <f>IF(P4&lt;=P1_COD+CIT_Holiday,0,IF(P31&gt;0,-P31*CIT_Rate,0))</f>
        <v/>
      </c>
      <c r="Q34" s="38">
        <f>IF(Q4&lt;=P1_COD+CIT_Holiday,0,IF(Q31&gt;0,-Q31*CIT_Rate,0))</f>
        <v/>
      </c>
      <c r="R34" s="38">
        <f>IF(R4&lt;=P1_COD+CIT_Holiday,0,IF(R31&gt;0,-R31*CIT_Rate,0))</f>
        <v/>
      </c>
      <c r="S34" s="38">
        <f>IF(S4&lt;=P1_COD+CIT_Holiday,0,IF(S31&gt;0,-S31*CIT_Rate,0))</f>
        <v/>
      </c>
    </row>
    <row r="35">
      <c r="B35" s="39" t="inlineStr">
        <is>
          <t>Net income</t>
        </is>
      </c>
      <c r="C35" s="15" t="inlineStr">
        <is>
          <t>USD M</t>
        </is>
      </c>
      <c r="D35" s="40">
        <f>D31+D34</f>
        <v/>
      </c>
      <c r="E35" s="40">
        <f>E31+E34</f>
        <v/>
      </c>
      <c r="F35" s="40">
        <f>F31+F34</f>
        <v/>
      </c>
      <c r="G35" s="40">
        <f>G31+G34</f>
        <v/>
      </c>
      <c r="H35" s="40">
        <f>H31+H34</f>
        <v/>
      </c>
      <c r="I35" s="40">
        <f>I31+I34</f>
        <v/>
      </c>
      <c r="J35" s="40">
        <f>J31+J34</f>
        <v/>
      </c>
      <c r="K35" s="40">
        <f>K31+K34</f>
        <v/>
      </c>
      <c r="L35" s="40">
        <f>L31+L34</f>
        <v/>
      </c>
      <c r="M35" s="40">
        <f>M31+M34</f>
        <v/>
      </c>
      <c r="N35" s="40">
        <f>N31+N34</f>
        <v/>
      </c>
      <c r="O35" s="40">
        <f>O31+O34</f>
        <v/>
      </c>
      <c r="P35" s="40">
        <f>P31+P34</f>
        <v/>
      </c>
      <c r="Q35" s="40">
        <f>Q31+Q34</f>
        <v/>
      </c>
      <c r="R35" s="40">
        <f>R31+R34</f>
        <v/>
      </c>
      <c r="S35" s="40">
        <f>S31+S34</f>
        <v/>
      </c>
    </row>
  </sheetData>
  <mergeCells count="7">
    <mergeCell ref="B6:S6"/>
    <mergeCell ref="B33:S33"/>
    <mergeCell ref="B16:S16"/>
    <mergeCell ref="B23:S23"/>
    <mergeCell ref="B27:S27"/>
    <mergeCell ref="B1:S1"/>
    <mergeCell ref="B13:S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S46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0" customWidth="1" min="2" max="2"/>
    <col width="8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</cols>
  <sheetData>
    <row r="1" ht="28" customHeight="1">
      <c r="B1" s="1" t="inlineStr">
        <is>
          <t>Cashflow &amp; Returns   |   现金流与回报</t>
        </is>
      </c>
    </row>
    <row r="3">
      <c r="B3" s="28" t="inlineStr">
        <is>
          <t>Line Item / 项目</t>
        </is>
      </c>
      <c r="C3" s="29" t="inlineStr">
        <is>
          <t>Unit</t>
        </is>
      </c>
      <c r="D3" s="29" t="inlineStr">
        <is>
          <t>Y0</t>
        </is>
      </c>
      <c r="E3" s="29" t="inlineStr">
        <is>
          <t>Y1</t>
        </is>
      </c>
      <c r="F3" s="29" t="inlineStr">
        <is>
          <t>Y2</t>
        </is>
      </c>
      <c r="G3" s="29" t="inlineStr">
        <is>
          <t>Y3</t>
        </is>
      </c>
      <c r="H3" s="29" t="inlineStr">
        <is>
          <t>Y4</t>
        </is>
      </c>
      <c r="I3" s="29" t="inlineStr">
        <is>
          <t>Y5</t>
        </is>
      </c>
      <c r="J3" s="29" t="inlineStr">
        <is>
          <t>Y6</t>
        </is>
      </c>
      <c r="K3" s="29" t="inlineStr">
        <is>
          <t>Y7</t>
        </is>
      </c>
      <c r="L3" s="29" t="inlineStr">
        <is>
          <t>Y8</t>
        </is>
      </c>
      <c r="M3" s="29" t="inlineStr">
        <is>
          <t>Y9</t>
        </is>
      </c>
      <c r="N3" s="29" t="inlineStr">
        <is>
          <t>Y10</t>
        </is>
      </c>
      <c r="O3" s="29" t="inlineStr">
        <is>
          <t>Y11</t>
        </is>
      </c>
      <c r="P3" s="29" t="inlineStr">
        <is>
          <t>Y12</t>
        </is>
      </c>
      <c r="Q3" s="29" t="inlineStr">
        <is>
          <t>Y13</t>
        </is>
      </c>
      <c r="R3" s="29" t="inlineStr">
        <is>
          <t>Y14</t>
        </is>
      </c>
      <c r="S3" s="29" t="inlineStr">
        <is>
          <t>Y15</t>
        </is>
      </c>
    </row>
    <row r="4">
      <c r="B4" s="16" t="inlineStr">
        <is>
          <t>Year (from FID)</t>
        </is>
      </c>
      <c r="D4" s="15" t="n">
        <v>0</v>
      </c>
      <c r="E4" s="15" t="n">
        <v>1</v>
      </c>
      <c r="F4" s="15" t="n">
        <v>2</v>
      </c>
      <c r="G4" s="15" t="n">
        <v>3</v>
      </c>
      <c r="H4" s="15" t="n">
        <v>4</v>
      </c>
      <c r="I4" s="15" t="n">
        <v>5</v>
      </c>
      <c r="J4" s="15" t="n">
        <v>6</v>
      </c>
      <c r="K4" s="15" t="n">
        <v>7</v>
      </c>
      <c r="L4" s="15" t="n">
        <v>8</v>
      </c>
      <c r="M4" s="15" t="n">
        <v>9</v>
      </c>
      <c r="N4" s="15" t="n">
        <v>10</v>
      </c>
      <c r="O4" s="15" t="n">
        <v>11</v>
      </c>
      <c r="P4" s="15" t="n">
        <v>12</v>
      </c>
      <c r="Q4" s="15" t="n">
        <v>13</v>
      </c>
      <c r="R4" s="15" t="n">
        <v>14</v>
      </c>
      <c r="S4" s="15" t="n">
        <v>15</v>
      </c>
    </row>
    <row r="6" ht="18" customHeight="1">
      <c r="B6" s="31" t="inlineStr">
        <is>
          <t xml:space="preserve">  CAPEX SPEND · 资本支出</t>
        </is>
      </c>
    </row>
    <row r="7">
      <c r="B7" s="32" t="inlineStr">
        <is>
          <t xml:space="preserve">  Phase 1 CAPEX</t>
        </is>
      </c>
      <c r="C7" s="15" t="inlineStr">
        <is>
          <t>USD M</t>
        </is>
      </c>
      <c r="D7" s="38">
        <f>-IF(D4=P1_COD-2,P1_CAPEX*0.4,IF(D4=P1_COD-1,P1_CAPEX*0.6,0))</f>
        <v/>
      </c>
      <c r="E7" s="38">
        <f>-IF(E4=P1_COD-2,P1_CAPEX*0.4,IF(E4=P1_COD-1,P1_CAPEX*0.6,0))</f>
        <v/>
      </c>
      <c r="F7" s="38">
        <f>-IF(F4=P1_COD-2,P1_CAPEX*0.4,IF(F4=P1_COD-1,P1_CAPEX*0.6,0))</f>
        <v/>
      </c>
      <c r="G7" s="38">
        <f>-IF(G4=P1_COD-2,P1_CAPEX*0.4,IF(G4=P1_COD-1,P1_CAPEX*0.6,0))</f>
        <v/>
      </c>
      <c r="H7" s="38">
        <f>-IF(H4=P1_COD-2,P1_CAPEX*0.4,IF(H4=P1_COD-1,P1_CAPEX*0.6,0))</f>
        <v/>
      </c>
      <c r="I7" s="38">
        <f>-IF(I4=P1_COD-2,P1_CAPEX*0.4,IF(I4=P1_COD-1,P1_CAPEX*0.6,0))</f>
        <v/>
      </c>
      <c r="J7" s="38">
        <f>-IF(J4=P1_COD-2,P1_CAPEX*0.4,IF(J4=P1_COD-1,P1_CAPEX*0.6,0))</f>
        <v/>
      </c>
      <c r="K7" s="38">
        <f>-IF(K4=P1_COD-2,P1_CAPEX*0.4,IF(K4=P1_COD-1,P1_CAPEX*0.6,0))</f>
        <v/>
      </c>
      <c r="L7" s="38">
        <f>-IF(L4=P1_COD-2,P1_CAPEX*0.4,IF(L4=P1_COD-1,P1_CAPEX*0.6,0))</f>
        <v/>
      </c>
      <c r="M7" s="38">
        <f>-IF(M4=P1_COD-2,P1_CAPEX*0.4,IF(M4=P1_COD-1,P1_CAPEX*0.6,0))</f>
        <v/>
      </c>
      <c r="N7" s="38">
        <f>-IF(N4=P1_COD-2,P1_CAPEX*0.4,IF(N4=P1_COD-1,P1_CAPEX*0.6,0))</f>
        <v/>
      </c>
      <c r="O7" s="38">
        <f>-IF(O4=P1_COD-2,P1_CAPEX*0.4,IF(O4=P1_COD-1,P1_CAPEX*0.6,0))</f>
        <v/>
      </c>
      <c r="P7" s="38">
        <f>-IF(P4=P1_COD-2,P1_CAPEX*0.4,IF(P4=P1_COD-1,P1_CAPEX*0.6,0))</f>
        <v/>
      </c>
      <c r="Q7" s="38">
        <f>-IF(Q4=P1_COD-2,P1_CAPEX*0.4,IF(Q4=P1_COD-1,P1_CAPEX*0.6,0))</f>
        <v/>
      </c>
      <c r="R7" s="38">
        <f>-IF(R4=P1_COD-2,P1_CAPEX*0.4,IF(R4=P1_COD-1,P1_CAPEX*0.6,0))</f>
        <v/>
      </c>
      <c r="S7" s="38">
        <f>-IF(S4=P1_COD-2,P1_CAPEX*0.4,IF(S4=P1_COD-1,P1_CAPEX*0.6,0))</f>
        <v/>
      </c>
    </row>
    <row r="8">
      <c r="B8" s="32" t="inlineStr">
        <is>
          <t xml:space="preserve">  Phase 2 CAPEX</t>
        </is>
      </c>
      <c r="C8" s="15" t="inlineStr">
        <is>
          <t>USD M</t>
        </is>
      </c>
      <c r="D8" s="38">
        <f>-IF(D4=P2_COD-2,P2_CAPEX*0.4,IF(D4=P2_COD-1,P2_CAPEX*0.6,0))</f>
        <v/>
      </c>
      <c r="E8" s="38">
        <f>-IF(E4=P2_COD-2,P2_CAPEX*0.4,IF(E4=P2_COD-1,P2_CAPEX*0.6,0))</f>
        <v/>
      </c>
      <c r="F8" s="38">
        <f>-IF(F4=P2_COD-2,P2_CAPEX*0.4,IF(F4=P2_COD-1,P2_CAPEX*0.6,0))</f>
        <v/>
      </c>
      <c r="G8" s="38">
        <f>-IF(G4=P2_COD-2,P2_CAPEX*0.4,IF(G4=P2_COD-1,P2_CAPEX*0.6,0))</f>
        <v/>
      </c>
      <c r="H8" s="38">
        <f>-IF(H4=P2_COD-2,P2_CAPEX*0.4,IF(H4=P2_COD-1,P2_CAPEX*0.6,0))</f>
        <v/>
      </c>
      <c r="I8" s="38">
        <f>-IF(I4=P2_COD-2,P2_CAPEX*0.4,IF(I4=P2_COD-1,P2_CAPEX*0.6,0))</f>
        <v/>
      </c>
      <c r="J8" s="38">
        <f>-IF(J4=P2_COD-2,P2_CAPEX*0.4,IF(J4=P2_COD-1,P2_CAPEX*0.6,0))</f>
        <v/>
      </c>
      <c r="K8" s="38">
        <f>-IF(K4=P2_COD-2,P2_CAPEX*0.4,IF(K4=P2_COD-1,P2_CAPEX*0.6,0))</f>
        <v/>
      </c>
      <c r="L8" s="38">
        <f>-IF(L4=P2_COD-2,P2_CAPEX*0.4,IF(L4=P2_COD-1,P2_CAPEX*0.6,0))</f>
        <v/>
      </c>
      <c r="M8" s="38">
        <f>-IF(M4=P2_COD-2,P2_CAPEX*0.4,IF(M4=P2_COD-1,P2_CAPEX*0.6,0))</f>
        <v/>
      </c>
      <c r="N8" s="38">
        <f>-IF(N4=P2_COD-2,P2_CAPEX*0.4,IF(N4=P2_COD-1,P2_CAPEX*0.6,0))</f>
        <v/>
      </c>
      <c r="O8" s="38">
        <f>-IF(O4=P2_COD-2,P2_CAPEX*0.4,IF(O4=P2_COD-1,P2_CAPEX*0.6,0))</f>
        <v/>
      </c>
      <c r="P8" s="38">
        <f>-IF(P4=P2_COD-2,P2_CAPEX*0.4,IF(P4=P2_COD-1,P2_CAPEX*0.6,0))</f>
        <v/>
      </c>
      <c r="Q8" s="38">
        <f>-IF(Q4=P2_COD-2,P2_CAPEX*0.4,IF(Q4=P2_COD-1,P2_CAPEX*0.6,0))</f>
        <v/>
      </c>
      <c r="R8" s="38">
        <f>-IF(R4=P2_COD-2,P2_CAPEX*0.4,IF(R4=P2_COD-1,P2_CAPEX*0.6,0))</f>
        <v/>
      </c>
      <c r="S8" s="38">
        <f>-IF(S4=P2_COD-2,P2_CAPEX*0.4,IF(S4=P2_COD-1,P2_CAPEX*0.6,0))</f>
        <v/>
      </c>
    </row>
    <row r="9">
      <c r="B9" s="32" t="inlineStr">
        <is>
          <t xml:space="preserve">  Phase 3 CAPEX</t>
        </is>
      </c>
      <c r="C9" s="15" t="inlineStr">
        <is>
          <t>USD M</t>
        </is>
      </c>
      <c r="D9" s="38">
        <f>-IF(D4=P3_COD-2,P3_CAPEX*0.4,IF(D4=P3_COD-1,P3_CAPEX*0.6,0))</f>
        <v/>
      </c>
      <c r="E9" s="38">
        <f>-IF(E4=P3_COD-2,P3_CAPEX*0.4,IF(E4=P3_COD-1,P3_CAPEX*0.6,0))</f>
        <v/>
      </c>
      <c r="F9" s="38">
        <f>-IF(F4=P3_COD-2,P3_CAPEX*0.4,IF(F4=P3_COD-1,P3_CAPEX*0.6,0))</f>
        <v/>
      </c>
      <c r="G9" s="38">
        <f>-IF(G4=P3_COD-2,P3_CAPEX*0.4,IF(G4=P3_COD-1,P3_CAPEX*0.6,0))</f>
        <v/>
      </c>
      <c r="H9" s="38">
        <f>-IF(H4=P3_COD-2,P3_CAPEX*0.4,IF(H4=P3_COD-1,P3_CAPEX*0.6,0))</f>
        <v/>
      </c>
      <c r="I9" s="38">
        <f>-IF(I4=P3_COD-2,P3_CAPEX*0.4,IF(I4=P3_COD-1,P3_CAPEX*0.6,0))</f>
        <v/>
      </c>
      <c r="J9" s="38">
        <f>-IF(J4=P3_COD-2,P3_CAPEX*0.4,IF(J4=P3_COD-1,P3_CAPEX*0.6,0))</f>
        <v/>
      </c>
      <c r="K9" s="38">
        <f>-IF(K4=P3_COD-2,P3_CAPEX*0.4,IF(K4=P3_COD-1,P3_CAPEX*0.6,0))</f>
        <v/>
      </c>
      <c r="L9" s="38">
        <f>-IF(L4=P3_COD-2,P3_CAPEX*0.4,IF(L4=P3_COD-1,P3_CAPEX*0.6,0))</f>
        <v/>
      </c>
      <c r="M9" s="38">
        <f>-IF(M4=P3_COD-2,P3_CAPEX*0.4,IF(M4=P3_COD-1,P3_CAPEX*0.6,0))</f>
        <v/>
      </c>
      <c r="N9" s="38">
        <f>-IF(N4=P3_COD-2,P3_CAPEX*0.4,IF(N4=P3_COD-1,P3_CAPEX*0.6,0))</f>
        <v/>
      </c>
      <c r="O9" s="38">
        <f>-IF(O4=P3_COD-2,P3_CAPEX*0.4,IF(O4=P3_COD-1,P3_CAPEX*0.6,0))</f>
        <v/>
      </c>
      <c r="P9" s="38">
        <f>-IF(P4=P3_COD-2,P3_CAPEX*0.4,IF(P4=P3_COD-1,P3_CAPEX*0.6,0))</f>
        <v/>
      </c>
      <c r="Q9" s="38">
        <f>-IF(Q4=P3_COD-2,P3_CAPEX*0.4,IF(Q4=P3_COD-1,P3_CAPEX*0.6,0))</f>
        <v/>
      </c>
      <c r="R9" s="38">
        <f>-IF(R4=P3_COD-2,P3_CAPEX*0.4,IF(R4=P3_COD-1,P3_CAPEX*0.6,0))</f>
        <v/>
      </c>
      <c r="S9" s="38">
        <f>-IF(S4=P3_COD-2,P3_CAPEX*0.4,IF(S4=P3_COD-1,P3_CAPEX*0.6,0))</f>
        <v/>
      </c>
    </row>
    <row r="10">
      <c r="B10" s="41" t="inlineStr">
        <is>
          <t>Total CAPEX Outflow</t>
        </is>
      </c>
      <c r="C10" s="15" t="inlineStr">
        <is>
          <t>USD M</t>
        </is>
      </c>
      <c r="D10" s="42">
        <f>D7+D8+D9</f>
        <v/>
      </c>
      <c r="E10" s="42">
        <f>E7+E8+E9</f>
        <v/>
      </c>
      <c r="F10" s="42">
        <f>F7+F8+F9</f>
        <v/>
      </c>
      <c r="G10" s="42">
        <f>G7+G8+G9</f>
        <v/>
      </c>
      <c r="H10" s="42">
        <f>H7+H8+H9</f>
        <v/>
      </c>
      <c r="I10" s="42">
        <f>I7+I8+I9</f>
        <v/>
      </c>
      <c r="J10" s="42">
        <f>J7+J8+J9</f>
        <v/>
      </c>
      <c r="K10" s="42">
        <f>K7+K8+K9</f>
        <v/>
      </c>
      <c r="L10" s="42">
        <f>L7+L8+L9</f>
        <v/>
      </c>
      <c r="M10" s="42">
        <f>M7+M8+M9</f>
        <v/>
      </c>
      <c r="N10" s="42">
        <f>N7+N8+N9</f>
        <v/>
      </c>
      <c r="O10" s="42">
        <f>O7+O8+O9</f>
        <v/>
      </c>
      <c r="P10" s="42">
        <f>P7+P8+P9</f>
        <v/>
      </c>
      <c r="Q10" s="42">
        <f>Q7+Q8+Q9</f>
        <v/>
      </c>
      <c r="R10" s="42">
        <f>R7+R8+R9</f>
        <v/>
      </c>
      <c r="S10" s="42">
        <f>S7+S8+S9</f>
        <v/>
      </c>
    </row>
    <row r="12" ht="18" customHeight="1">
      <c r="B12" s="31" t="inlineStr">
        <is>
          <t xml:space="preserve">  FINANCING · 融资</t>
        </is>
      </c>
    </row>
    <row r="13">
      <c r="B13" s="32" t="inlineStr">
        <is>
          <t xml:space="preserve">  Debt drawdown</t>
        </is>
      </c>
      <c r="C13" s="15" t="inlineStr">
        <is>
          <t>USD M</t>
        </is>
      </c>
      <c r="D13" s="38">
        <f>-D10*Debt_Ratio</f>
        <v/>
      </c>
      <c r="E13" s="38">
        <f>-E10*Debt_Ratio</f>
        <v/>
      </c>
      <c r="F13" s="38">
        <f>-F10*Debt_Ratio</f>
        <v/>
      </c>
      <c r="G13" s="38">
        <f>-G10*Debt_Ratio</f>
        <v/>
      </c>
      <c r="H13" s="38">
        <f>-H10*Debt_Ratio</f>
        <v/>
      </c>
      <c r="I13" s="38">
        <f>-I10*Debt_Ratio</f>
        <v/>
      </c>
      <c r="J13" s="38">
        <f>-J10*Debt_Ratio</f>
        <v/>
      </c>
      <c r="K13" s="38">
        <f>-K10*Debt_Ratio</f>
        <v/>
      </c>
      <c r="L13" s="38">
        <f>-L10*Debt_Ratio</f>
        <v/>
      </c>
      <c r="M13" s="38">
        <f>-M10*Debt_Ratio</f>
        <v/>
      </c>
      <c r="N13" s="38">
        <f>-N10*Debt_Ratio</f>
        <v/>
      </c>
      <c r="O13" s="38">
        <f>-O10*Debt_Ratio</f>
        <v/>
      </c>
      <c r="P13" s="38">
        <f>-P10*Debt_Ratio</f>
        <v/>
      </c>
      <c r="Q13" s="38">
        <f>-Q10*Debt_Ratio</f>
        <v/>
      </c>
      <c r="R13" s="38">
        <f>-R10*Debt_Ratio</f>
        <v/>
      </c>
      <c r="S13" s="38">
        <f>-S10*Debt_Ratio</f>
        <v/>
      </c>
    </row>
    <row r="14">
      <c r="B14" s="32" t="inlineStr">
        <is>
          <t xml:space="preserve">  Equity contribution</t>
        </is>
      </c>
      <c r="C14" s="15" t="inlineStr">
        <is>
          <t>USD M</t>
        </is>
      </c>
      <c r="D14" s="38">
        <f>-D10*(1-Debt_Ratio)</f>
        <v/>
      </c>
      <c r="E14" s="38">
        <f>-E10*(1-Debt_Ratio)</f>
        <v/>
      </c>
      <c r="F14" s="38">
        <f>-F10*(1-Debt_Ratio)</f>
        <v/>
      </c>
      <c r="G14" s="38">
        <f>-G10*(1-Debt_Ratio)</f>
        <v/>
      </c>
      <c r="H14" s="38">
        <f>-H10*(1-Debt_Ratio)</f>
        <v/>
      </c>
      <c r="I14" s="38">
        <f>-I10*(1-Debt_Ratio)</f>
        <v/>
      </c>
      <c r="J14" s="38">
        <f>-J10*(1-Debt_Ratio)</f>
        <v/>
      </c>
      <c r="K14" s="38">
        <f>-K10*(1-Debt_Ratio)</f>
        <v/>
      </c>
      <c r="L14" s="38">
        <f>-L10*(1-Debt_Ratio)</f>
        <v/>
      </c>
      <c r="M14" s="38">
        <f>-M10*(1-Debt_Ratio)</f>
        <v/>
      </c>
      <c r="N14" s="38">
        <f>-N10*(1-Debt_Ratio)</f>
        <v/>
      </c>
      <c r="O14" s="38">
        <f>-O10*(1-Debt_Ratio)</f>
        <v/>
      </c>
      <c r="P14" s="38">
        <f>-P10*(1-Debt_Ratio)</f>
        <v/>
      </c>
      <c r="Q14" s="38">
        <f>-Q10*(1-Debt_Ratio)</f>
        <v/>
      </c>
      <c r="R14" s="38">
        <f>-R10*(1-Debt_Ratio)</f>
        <v/>
      </c>
      <c r="S14" s="38">
        <f>-S10*(1-Debt_Ratio)</f>
        <v/>
      </c>
    </row>
    <row r="15">
      <c r="B15" s="32" t="inlineStr">
        <is>
          <t xml:space="preserve">  Debt principal repayment</t>
        </is>
      </c>
      <c r="C15" s="15" t="inlineStr">
        <is>
          <t>USD M</t>
        </is>
      </c>
      <c r="D15" s="38">
        <f>-((IF(AND(D4&gt;=P1_COD,D4&lt;P1_COD+Debt_Tenor),P1_CAPEX*Debt_Ratio/Debt_Tenor,0))+(IF(AND(D4&gt;=P2_COD,D4&lt;P2_COD+Debt_Tenor),P2_CAPEX*Debt_Ratio/Debt_Tenor,0))+(IF(AND(D4&gt;=P3_COD,D4&lt;P3_COD+Debt_Tenor),P3_CAPEX*Debt_Ratio/Debt_Tenor,0)))</f>
        <v/>
      </c>
      <c r="E15" s="38">
        <f>-((IF(AND(E4&gt;=P1_COD,E4&lt;P1_COD+Debt_Tenor),P1_CAPEX*Debt_Ratio/Debt_Tenor,0))+(IF(AND(E4&gt;=P2_COD,E4&lt;P2_COD+Debt_Tenor),P2_CAPEX*Debt_Ratio/Debt_Tenor,0))+(IF(AND(E4&gt;=P3_COD,E4&lt;P3_COD+Debt_Tenor),P3_CAPEX*Debt_Ratio/Debt_Tenor,0)))</f>
        <v/>
      </c>
      <c r="F15" s="38">
        <f>-((IF(AND(F4&gt;=P1_COD,F4&lt;P1_COD+Debt_Tenor),P1_CAPEX*Debt_Ratio/Debt_Tenor,0))+(IF(AND(F4&gt;=P2_COD,F4&lt;P2_COD+Debt_Tenor),P2_CAPEX*Debt_Ratio/Debt_Tenor,0))+(IF(AND(F4&gt;=P3_COD,F4&lt;P3_COD+Debt_Tenor),P3_CAPEX*Debt_Ratio/Debt_Tenor,0)))</f>
        <v/>
      </c>
      <c r="G15" s="38">
        <f>-((IF(AND(G4&gt;=P1_COD,G4&lt;P1_COD+Debt_Tenor),P1_CAPEX*Debt_Ratio/Debt_Tenor,0))+(IF(AND(G4&gt;=P2_COD,G4&lt;P2_COD+Debt_Tenor),P2_CAPEX*Debt_Ratio/Debt_Tenor,0))+(IF(AND(G4&gt;=P3_COD,G4&lt;P3_COD+Debt_Tenor),P3_CAPEX*Debt_Ratio/Debt_Tenor,0)))</f>
        <v/>
      </c>
      <c r="H15" s="38">
        <f>-((IF(AND(H4&gt;=P1_COD,H4&lt;P1_COD+Debt_Tenor),P1_CAPEX*Debt_Ratio/Debt_Tenor,0))+(IF(AND(H4&gt;=P2_COD,H4&lt;P2_COD+Debt_Tenor),P2_CAPEX*Debt_Ratio/Debt_Tenor,0))+(IF(AND(H4&gt;=P3_COD,H4&lt;P3_COD+Debt_Tenor),P3_CAPEX*Debt_Ratio/Debt_Tenor,0)))</f>
        <v/>
      </c>
      <c r="I15" s="38">
        <f>-((IF(AND(I4&gt;=P1_COD,I4&lt;P1_COD+Debt_Tenor),P1_CAPEX*Debt_Ratio/Debt_Tenor,0))+(IF(AND(I4&gt;=P2_COD,I4&lt;P2_COD+Debt_Tenor),P2_CAPEX*Debt_Ratio/Debt_Tenor,0))+(IF(AND(I4&gt;=P3_COD,I4&lt;P3_COD+Debt_Tenor),P3_CAPEX*Debt_Ratio/Debt_Tenor,0)))</f>
        <v/>
      </c>
      <c r="J15" s="38">
        <f>-((IF(AND(J4&gt;=P1_COD,J4&lt;P1_COD+Debt_Tenor),P1_CAPEX*Debt_Ratio/Debt_Tenor,0))+(IF(AND(J4&gt;=P2_COD,J4&lt;P2_COD+Debt_Tenor),P2_CAPEX*Debt_Ratio/Debt_Tenor,0))+(IF(AND(J4&gt;=P3_COD,J4&lt;P3_COD+Debt_Tenor),P3_CAPEX*Debt_Ratio/Debt_Tenor,0)))</f>
        <v/>
      </c>
      <c r="K15" s="38">
        <f>-((IF(AND(K4&gt;=P1_COD,K4&lt;P1_COD+Debt_Tenor),P1_CAPEX*Debt_Ratio/Debt_Tenor,0))+(IF(AND(K4&gt;=P2_COD,K4&lt;P2_COD+Debt_Tenor),P2_CAPEX*Debt_Ratio/Debt_Tenor,0))+(IF(AND(K4&gt;=P3_COD,K4&lt;P3_COD+Debt_Tenor),P3_CAPEX*Debt_Ratio/Debt_Tenor,0)))</f>
        <v/>
      </c>
      <c r="L15" s="38">
        <f>-((IF(AND(L4&gt;=P1_COD,L4&lt;P1_COD+Debt_Tenor),P1_CAPEX*Debt_Ratio/Debt_Tenor,0))+(IF(AND(L4&gt;=P2_COD,L4&lt;P2_COD+Debt_Tenor),P2_CAPEX*Debt_Ratio/Debt_Tenor,0))+(IF(AND(L4&gt;=P3_COD,L4&lt;P3_COD+Debt_Tenor),P3_CAPEX*Debt_Ratio/Debt_Tenor,0)))</f>
        <v/>
      </c>
      <c r="M15" s="38">
        <f>-((IF(AND(M4&gt;=P1_COD,M4&lt;P1_COD+Debt_Tenor),P1_CAPEX*Debt_Ratio/Debt_Tenor,0))+(IF(AND(M4&gt;=P2_COD,M4&lt;P2_COD+Debt_Tenor),P2_CAPEX*Debt_Ratio/Debt_Tenor,0))+(IF(AND(M4&gt;=P3_COD,M4&lt;P3_COD+Debt_Tenor),P3_CAPEX*Debt_Ratio/Debt_Tenor,0)))</f>
        <v/>
      </c>
      <c r="N15" s="38">
        <f>-((IF(AND(N4&gt;=P1_COD,N4&lt;P1_COD+Debt_Tenor),P1_CAPEX*Debt_Ratio/Debt_Tenor,0))+(IF(AND(N4&gt;=P2_COD,N4&lt;P2_COD+Debt_Tenor),P2_CAPEX*Debt_Ratio/Debt_Tenor,0))+(IF(AND(N4&gt;=P3_COD,N4&lt;P3_COD+Debt_Tenor),P3_CAPEX*Debt_Ratio/Debt_Tenor,0)))</f>
        <v/>
      </c>
      <c r="O15" s="38">
        <f>-((IF(AND(O4&gt;=P1_COD,O4&lt;P1_COD+Debt_Tenor),P1_CAPEX*Debt_Ratio/Debt_Tenor,0))+(IF(AND(O4&gt;=P2_COD,O4&lt;P2_COD+Debt_Tenor),P2_CAPEX*Debt_Ratio/Debt_Tenor,0))+(IF(AND(O4&gt;=P3_COD,O4&lt;P3_COD+Debt_Tenor),P3_CAPEX*Debt_Ratio/Debt_Tenor,0)))</f>
        <v/>
      </c>
      <c r="P15" s="38">
        <f>-((IF(AND(P4&gt;=P1_COD,P4&lt;P1_COD+Debt_Tenor),P1_CAPEX*Debt_Ratio/Debt_Tenor,0))+(IF(AND(P4&gt;=P2_COD,P4&lt;P2_COD+Debt_Tenor),P2_CAPEX*Debt_Ratio/Debt_Tenor,0))+(IF(AND(P4&gt;=P3_COD,P4&lt;P3_COD+Debt_Tenor),P3_CAPEX*Debt_Ratio/Debt_Tenor,0)))</f>
        <v/>
      </c>
      <c r="Q15" s="38">
        <f>-((IF(AND(Q4&gt;=P1_COD,Q4&lt;P1_COD+Debt_Tenor),P1_CAPEX*Debt_Ratio/Debt_Tenor,0))+(IF(AND(Q4&gt;=P2_COD,Q4&lt;P2_COD+Debt_Tenor),P2_CAPEX*Debt_Ratio/Debt_Tenor,0))+(IF(AND(Q4&gt;=P3_COD,Q4&lt;P3_COD+Debt_Tenor),P3_CAPEX*Debt_Ratio/Debt_Tenor,0)))</f>
        <v/>
      </c>
      <c r="R15" s="38">
        <f>-((IF(AND(R4&gt;=P1_COD,R4&lt;P1_COD+Debt_Tenor),P1_CAPEX*Debt_Ratio/Debt_Tenor,0))+(IF(AND(R4&gt;=P2_COD,R4&lt;P2_COD+Debt_Tenor),P2_CAPEX*Debt_Ratio/Debt_Tenor,0))+(IF(AND(R4&gt;=P3_COD,R4&lt;P3_COD+Debt_Tenor),P3_CAPEX*Debt_Ratio/Debt_Tenor,0)))</f>
        <v/>
      </c>
      <c r="S15" s="38">
        <f>-((IF(AND(S4&gt;=P1_COD,S4&lt;P1_COD+Debt_Tenor),P1_CAPEX*Debt_Ratio/Debt_Tenor,0))+(IF(AND(S4&gt;=P2_COD,S4&lt;P2_COD+Debt_Tenor),P2_CAPEX*Debt_Ratio/Debt_Tenor,0))+(IF(AND(S4&gt;=P3_COD,S4&lt;P3_COD+Debt_Tenor),P3_CAPEX*Debt_Ratio/Debt_Tenor,0)))</f>
        <v/>
      </c>
    </row>
    <row r="17" ht="18" customHeight="1">
      <c r="B17" s="31" t="inlineStr">
        <is>
          <t xml:space="preserve">  OPERATING CASHFLOW · 经营现金流</t>
        </is>
      </c>
    </row>
    <row r="18">
      <c r="B18" s="32" t="inlineStr">
        <is>
          <t xml:space="preserve">  EBITDA (from P&amp;L)</t>
        </is>
      </c>
      <c r="C18" s="15" t="inlineStr">
        <is>
          <t>USD M</t>
        </is>
      </c>
      <c r="D18" s="38">
        <f>'P&amp;L'!D24</f>
        <v/>
      </c>
      <c r="E18" s="38">
        <f>'P&amp;L'!E24</f>
        <v/>
      </c>
      <c r="F18" s="38">
        <f>'P&amp;L'!F24</f>
        <v/>
      </c>
      <c r="G18" s="38">
        <f>'P&amp;L'!G24</f>
        <v/>
      </c>
      <c r="H18" s="38">
        <f>'P&amp;L'!H24</f>
        <v/>
      </c>
      <c r="I18" s="38">
        <f>'P&amp;L'!I24</f>
        <v/>
      </c>
      <c r="J18" s="38">
        <f>'P&amp;L'!J24</f>
        <v/>
      </c>
      <c r="K18" s="38">
        <f>'P&amp;L'!K24</f>
        <v/>
      </c>
      <c r="L18" s="38">
        <f>'P&amp;L'!L24</f>
        <v/>
      </c>
      <c r="M18" s="38">
        <f>'P&amp;L'!M24</f>
        <v/>
      </c>
      <c r="N18" s="38">
        <f>'P&amp;L'!N24</f>
        <v/>
      </c>
      <c r="O18" s="38">
        <f>'P&amp;L'!O24</f>
        <v/>
      </c>
      <c r="P18" s="38">
        <f>'P&amp;L'!P24</f>
        <v/>
      </c>
      <c r="Q18" s="38">
        <f>'P&amp;L'!Q24</f>
        <v/>
      </c>
      <c r="R18" s="38">
        <f>'P&amp;L'!R24</f>
        <v/>
      </c>
      <c r="S18" s="38">
        <f>'P&amp;L'!S24</f>
        <v/>
      </c>
    </row>
    <row r="19">
      <c r="B19" s="32" t="inlineStr">
        <is>
          <t xml:space="preserve">  Tax paid (from P&amp;L)</t>
        </is>
      </c>
      <c r="C19" s="15" t="inlineStr">
        <is>
          <t>USD M</t>
        </is>
      </c>
      <c r="D19" s="38">
        <f>'P&amp;L'!D34</f>
        <v/>
      </c>
      <c r="E19" s="38">
        <f>'P&amp;L'!E34</f>
        <v/>
      </c>
      <c r="F19" s="38">
        <f>'P&amp;L'!F34</f>
        <v/>
      </c>
      <c r="G19" s="38">
        <f>'P&amp;L'!G34</f>
        <v/>
      </c>
      <c r="H19" s="38">
        <f>'P&amp;L'!H34</f>
        <v/>
      </c>
      <c r="I19" s="38">
        <f>'P&amp;L'!I34</f>
        <v/>
      </c>
      <c r="J19" s="38">
        <f>'P&amp;L'!J34</f>
        <v/>
      </c>
      <c r="K19" s="38">
        <f>'P&amp;L'!K34</f>
        <v/>
      </c>
      <c r="L19" s="38">
        <f>'P&amp;L'!L34</f>
        <v/>
      </c>
      <c r="M19" s="38">
        <f>'P&amp;L'!M34</f>
        <v/>
      </c>
      <c r="N19" s="38">
        <f>'P&amp;L'!N34</f>
        <v/>
      </c>
      <c r="O19" s="38">
        <f>'P&amp;L'!O34</f>
        <v/>
      </c>
      <c r="P19" s="38">
        <f>'P&amp;L'!P34</f>
        <v/>
      </c>
      <c r="Q19" s="38">
        <f>'P&amp;L'!Q34</f>
        <v/>
      </c>
      <c r="R19" s="38">
        <f>'P&amp;L'!R34</f>
        <v/>
      </c>
      <c r="S19" s="38">
        <f>'P&amp;L'!S34</f>
        <v/>
      </c>
    </row>
    <row r="20">
      <c r="B20" s="34" t="inlineStr">
        <is>
          <t>Operating cashflow (EBITDA - Tax)</t>
        </is>
      </c>
      <c r="C20" s="15" t="inlineStr">
        <is>
          <t>USD M</t>
        </is>
      </c>
      <c r="D20" s="37">
        <f>D18+D19</f>
        <v/>
      </c>
      <c r="E20" s="37">
        <f>E18+E19</f>
        <v/>
      </c>
      <c r="F20" s="37">
        <f>F18+F19</f>
        <v/>
      </c>
      <c r="G20" s="37">
        <f>G18+G19</f>
        <v/>
      </c>
      <c r="H20" s="37">
        <f>H18+H19</f>
        <v/>
      </c>
      <c r="I20" s="37">
        <f>I18+I19</f>
        <v/>
      </c>
      <c r="J20" s="37">
        <f>J18+J19</f>
        <v/>
      </c>
      <c r="K20" s="37">
        <f>K18+K19</f>
        <v/>
      </c>
      <c r="L20" s="37">
        <f>L18+L19</f>
        <v/>
      </c>
      <c r="M20" s="37">
        <f>M18+M19</f>
        <v/>
      </c>
      <c r="N20" s="37">
        <f>N18+N19</f>
        <v/>
      </c>
      <c r="O20" s="37">
        <f>O18+O19</f>
        <v/>
      </c>
      <c r="P20" s="37">
        <f>P18+P19</f>
        <v/>
      </c>
      <c r="Q20" s="37">
        <f>Q18+Q19</f>
        <v/>
      </c>
      <c r="R20" s="37">
        <f>R18+R19</f>
        <v/>
      </c>
      <c r="S20" s="37">
        <f>S18+S19</f>
        <v/>
      </c>
    </row>
    <row r="22" ht="18" customHeight="1">
      <c r="B22" s="31" t="inlineStr">
        <is>
          <t xml:space="preserve">  FREE CASHFLOW · 自由现金流</t>
        </is>
      </c>
    </row>
    <row r="23">
      <c r="B23" s="39" t="inlineStr">
        <is>
          <t>Free Cashflow to Project (unlevered)</t>
        </is>
      </c>
      <c r="C23" s="15" t="inlineStr">
        <is>
          <t>USD M</t>
        </is>
      </c>
      <c r="D23" s="40">
        <f>D20+D10</f>
        <v/>
      </c>
      <c r="E23" s="40">
        <f>E20+E10</f>
        <v/>
      </c>
      <c r="F23" s="40">
        <f>F20+F10</f>
        <v/>
      </c>
      <c r="G23" s="40">
        <f>G20+G10</f>
        <v/>
      </c>
      <c r="H23" s="40">
        <f>H20+H10</f>
        <v/>
      </c>
      <c r="I23" s="40">
        <f>I20+I10</f>
        <v/>
      </c>
      <c r="J23" s="40">
        <f>J20+J10</f>
        <v/>
      </c>
      <c r="K23" s="40">
        <f>K20+K10</f>
        <v/>
      </c>
      <c r="L23" s="40">
        <f>L20+L10</f>
        <v/>
      </c>
      <c r="M23" s="40">
        <f>M20+M10</f>
        <v/>
      </c>
      <c r="N23" s="40">
        <f>N20+N10</f>
        <v/>
      </c>
      <c r="O23" s="40">
        <f>O20+O10</f>
        <v/>
      </c>
      <c r="P23" s="40">
        <f>P20+P10</f>
        <v/>
      </c>
      <c r="Q23" s="40">
        <f>Q20+Q10</f>
        <v/>
      </c>
      <c r="R23" s="40">
        <f>R20+R10</f>
        <v/>
      </c>
      <c r="S23" s="40">
        <f>S20+S10</f>
        <v/>
      </c>
    </row>
    <row r="24">
      <c r="B24" s="32" t="inlineStr">
        <is>
          <t xml:space="preserve">  Interest expense (from P&amp;L)</t>
        </is>
      </c>
      <c r="C24" s="15" t="inlineStr">
        <is>
          <t>USD M</t>
        </is>
      </c>
      <c r="D24" s="38">
        <f>'P&amp;L'!D30</f>
        <v/>
      </c>
      <c r="E24" s="38">
        <f>'P&amp;L'!E30</f>
        <v/>
      </c>
      <c r="F24" s="38">
        <f>'P&amp;L'!F30</f>
        <v/>
      </c>
      <c r="G24" s="38">
        <f>'P&amp;L'!G30</f>
        <v/>
      </c>
      <c r="H24" s="38">
        <f>'P&amp;L'!H30</f>
        <v/>
      </c>
      <c r="I24" s="38">
        <f>'P&amp;L'!I30</f>
        <v/>
      </c>
      <c r="J24" s="38">
        <f>'P&amp;L'!J30</f>
        <v/>
      </c>
      <c r="K24" s="38">
        <f>'P&amp;L'!K30</f>
        <v/>
      </c>
      <c r="L24" s="38">
        <f>'P&amp;L'!L30</f>
        <v/>
      </c>
      <c r="M24" s="38">
        <f>'P&amp;L'!M30</f>
        <v/>
      </c>
      <c r="N24" s="38">
        <f>'P&amp;L'!N30</f>
        <v/>
      </c>
      <c r="O24" s="38">
        <f>'P&amp;L'!O30</f>
        <v/>
      </c>
      <c r="P24" s="38">
        <f>'P&amp;L'!P30</f>
        <v/>
      </c>
      <c r="Q24" s="38">
        <f>'P&amp;L'!Q30</f>
        <v/>
      </c>
      <c r="R24" s="38">
        <f>'P&amp;L'!R30</f>
        <v/>
      </c>
      <c r="S24" s="38">
        <f>'P&amp;L'!S30</f>
        <v/>
      </c>
    </row>
    <row r="25">
      <c r="B25" s="39" t="inlineStr">
        <is>
          <t>Free Cashflow to Equity (levered)</t>
        </is>
      </c>
      <c r="C25" s="15" t="inlineStr">
        <is>
          <t>USD M</t>
        </is>
      </c>
      <c r="D25" s="40">
        <f>D20+D10+D13+D24+D15</f>
        <v/>
      </c>
      <c r="E25" s="40">
        <f>E20+E10+E13+E24+E15</f>
        <v/>
      </c>
      <c r="F25" s="40">
        <f>F20+F10+F13+F24+F15</f>
        <v/>
      </c>
      <c r="G25" s="40">
        <f>G20+G10+G13+G24+G15</f>
        <v/>
      </c>
      <c r="H25" s="40">
        <f>H20+H10+H13+H24+H15</f>
        <v/>
      </c>
      <c r="I25" s="40">
        <f>I20+I10+I13+I24+I15</f>
        <v/>
      </c>
      <c r="J25" s="40">
        <f>J20+J10+J13+J24+J15</f>
        <v/>
      </c>
      <c r="K25" s="40">
        <f>K20+K10+K13+K24+K15</f>
        <v/>
      </c>
      <c r="L25" s="40">
        <f>L20+L10+L13+L24+L15</f>
        <v/>
      </c>
      <c r="M25" s="40">
        <f>M20+M10+M13+M24+M15</f>
        <v/>
      </c>
      <c r="N25" s="40">
        <f>N20+N10+N13+N24+N15</f>
        <v/>
      </c>
      <c r="O25" s="40">
        <f>O20+O10+O13+O24+O15</f>
        <v/>
      </c>
      <c r="P25" s="40">
        <f>P20+P10+P13+P24+P15</f>
        <v/>
      </c>
      <c r="Q25" s="40">
        <f>Q20+Q10+Q13+Q24+Q15</f>
        <v/>
      </c>
      <c r="R25" s="40">
        <f>R20+R10+R13+R24+R15</f>
        <v/>
      </c>
      <c r="S25" s="40">
        <f>S20+S10+S13+S24+S15</f>
        <v/>
      </c>
    </row>
    <row r="27" ht="18" customHeight="1">
      <c r="B27" s="31" t="inlineStr">
        <is>
          <t xml:space="preserve">  TERMINAL VALUE · 终值</t>
        </is>
      </c>
    </row>
    <row r="28">
      <c r="B28" s="13" t="inlineStr">
        <is>
          <t xml:space="preserve">  Terminal value (Exit Mult × final EBITDA)</t>
        </is>
      </c>
      <c r="C28" s="15" t="inlineStr">
        <is>
          <t>USD M</t>
        </is>
      </c>
      <c r="D28" s="38" t="n">
        <v>0</v>
      </c>
      <c r="E28" s="38" t="n">
        <v>0</v>
      </c>
      <c r="F28" s="38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38" t="n">
        <v>0</v>
      </c>
      <c r="L28" s="38" t="n">
        <v>0</v>
      </c>
      <c r="M28" s="38" t="n">
        <v>0</v>
      </c>
      <c r="N28" s="38" t="n">
        <v>0</v>
      </c>
      <c r="O28" s="38" t="n">
        <v>0</v>
      </c>
      <c r="P28" s="38" t="n">
        <v>0</v>
      </c>
      <c r="Q28" s="38" t="n">
        <v>0</v>
      </c>
      <c r="R28" s="38" t="n">
        <v>0</v>
      </c>
      <c r="S28" s="38">
        <f>'P&amp;L'!S24*Exit_Mult</f>
        <v/>
      </c>
    </row>
    <row r="29">
      <c r="B29" s="32" t="inlineStr">
        <is>
          <t xml:space="preserve">  Project CF with TV</t>
        </is>
      </c>
      <c r="C29" s="15" t="inlineStr">
        <is>
          <t>USD M</t>
        </is>
      </c>
      <c r="D29" s="38">
        <f>D23+D28</f>
        <v/>
      </c>
      <c r="E29" s="38">
        <f>E23+E28</f>
        <v/>
      </c>
      <c r="F29" s="38">
        <f>F23+F28</f>
        <v/>
      </c>
      <c r="G29" s="38">
        <f>G23+G28</f>
        <v/>
      </c>
      <c r="H29" s="38">
        <f>H23+H28</f>
        <v/>
      </c>
      <c r="I29" s="38">
        <f>I23+I28</f>
        <v/>
      </c>
      <c r="J29" s="38">
        <f>J23+J28</f>
        <v/>
      </c>
      <c r="K29" s="38">
        <f>K23+K28</f>
        <v/>
      </c>
      <c r="L29" s="38">
        <f>L23+L28</f>
        <v/>
      </c>
      <c r="M29" s="38">
        <f>M23+M28</f>
        <v/>
      </c>
      <c r="N29" s="38">
        <f>N23+N28</f>
        <v/>
      </c>
      <c r="O29" s="38">
        <f>O23+O28</f>
        <v/>
      </c>
      <c r="P29" s="38">
        <f>P23+P28</f>
        <v/>
      </c>
      <c r="Q29" s="38">
        <f>Q23+Q28</f>
        <v/>
      </c>
      <c r="R29" s="38">
        <f>R23+R28</f>
        <v/>
      </c>
      <c r="S29" s="38">
        <f>S23+S28</f>
        <v/>
      </c>
    </row>
    <row r="30">
      <c r="B30" s="32" t="inlineStr">
        <is>
          <t xml:space="preserve">  Equity CF with TV</t>
        </is>
      </c>
      <c r="C30" s="15" t="inlineStr">
        <is>
          <t>USD M</t>
        </is>
      </c>
      <c r="D30" s="38">
        <f>D25+D28</f>
        <v/>
      </c>
      <c r="E30" s="38">
        <f>E25+E28</f>
        <v/>
      </c>
      <c r="F30" s="38">
        <f>F25+F28</f>
        <v/>
      </c>
      <c r="G30" s="38">
        <f>G25+G28</f>
        <v/>
      </c>
      <c r="H30" s="38">
        <f>H25+H28</f>
        <v/>
      </c>
      <c r="I30" s="38">
        <f>I25+I28</f>
        <v/>
      </c>
      <c r="J30" s="38">
        <f>J25+J28</f>
        <v/>
      </c>
      <c r="K30" s="38">
        <f>K25+K28</f>
        <v/>
      </c>
      <c r="L30" s="38">
        <f>L25+L28</f>
        <v/>
      </c>
      <c r="M30" s="38">
        <f>M25+M28</f>
        <v/>
      </c>
      <c r="N30" s="38">
        <f>N25+N28</f>
        <v/>
      </c>
      <c r="O30" s="38">
        <f>O25+O28</f>
        <v/>
      </c>
      <c r="P30" s="38">
        <f>P25+P28</f>
        <v/>
      </c>
      <c r="Q30" s="38">
        <f>Q25+Q28</f>
        <v/>
      </c>
      <c r="R30" s="38">
        <f>R25+R28</f>
        <v/>
      </c>
      <c r="S30" s="38">
        <f>S25+S28</f>
        <v/>
      </c>
    </row>
    <row r="31">
      <c r="B31" s="34" t="inlineStr">
        <is>
          <t>Cumulative Equity CF</t>
        </is>
      </c>
      <c r="C31" s="15" t="inlineStr">
        <is>
          <t>USD M</t>
        </is>
      </c>
      <c r="D31" s="37">
        <f>IF(0=0,D30,INDIRECT(ADDRESS(31,COLUMN()-1))+D30)</f>
        <v/>
      </c>
      <c r="E31" s="37">
        <f>IF(1=0,E30,INDIRECT(ADDRESS(31,COLUMN()-1))+E30)</f>
        <v/>
      </c>
      <c r="F31" s="37">
        <f>IF(2=0,F30,INDIRECT(ADDRESS(31,COLUMN()-1))+F30)</f>
        <v/>
      </c>
      <c r="G31" s="37">
        <f>IF(3=0,G30,INDIRECT(ADDRESS(31,COLUMN()-1))+G30)</f>
        <v/>
      </c>
      <c r="H31" s="37">
        <f>IF(4=0,H30,INDIRECT(ADDRESS(31,COLUMN()-1))+H30)</f>
        <v/>
      </c>
      <c r="I31" s="37">
        <f>IF(5=0,I30,INDIRECT(ADDRESS(31,COLUMN()-1))+I30)</f>
        <v/>
      </c>
      <c r="J31" s="37">
        <f>IF(6=0,J30,INDIRECT(ADDRESS(31,COLUMN()-1))+J30)</f>
        <v/>
      </c>
      <c r="K31" s="37">
        <f>IF(7=0,K30,INDIRECT(ADDRESS(31,COLUMN()-1))+K30)</f>
        <v/>
      </c>
      <c r="L31" s="37">
        <f>IF(8=0,L30,INDIRECT(ADDRESS(31,COLUMN()-1))+L30)</f>
        <v/>
      </c>
      <c r="M31" s="37">
        <f>IF(9=0,M30,INDIRECT(ADDRESS(31,COLUMN()-1))+M30)</f>
        <v/>
      </c>
      <c r="N31" s="37">
        <f>IF(10=0,N30,INDIRECT(ADDRESS(31,COLUMN()-1))+N30)</f>
        <v/>
      </c>
      <c r="O31" s="37">
        <f>IF(11=0,O30,INDIRECT(ADDRESS(31,COLUMN()-1))+O30)</f>
        <v/>
      </c>
      <c r="P31" s="37">
        <f>IF(12=0,P30,INDIRECT(ADDRESS(31,COLUMN()-1))+P30)</f>
        <v/>
      </c>
      <c r="Q31" s="37">
        <f>IF(13=0,Q30,INDIRECT(ADDRESS(31,COLUMN()-1))+Q30)</f>
        <v/>
      </c>
      <c r="R31" s="37">
        <f>IF(14=0,R30,INDIRECT(ADDRESS(31,COLUMN()-1))+R30)</f>
        <v/>
      </c>
      <c r="S31" s="37">
        <f>IF(15=0,S30,INDIRECT(ADDRESS(31,COLUMN()-1))+S30)</f>
        <v/>
      </c>
    </row>
    <row r="33" ht="18" customHeight="1">
      <c r="B33" s="31" t="inlineStr">
        <is>
          <t xml:space="preserve">  RETURNS SUMMARY · 回报汇总</t>
        </is>
      </c>
    </row>
    <row r="35">
      <c r="B35" s="43" t="inlineStr">
        <is>
          <t>Project IRR (unlevered)</t>
        </is>
      </c>
      <c r="C35" s="44">
        <f>IRR(D29:S29)</f>
        <v/>
      </c>
    </row>
    <row r="36">
      <c r="B36" s="43" t="inlineStr">
        <is>
          <t>Equity IRR (levered)</t>
        </is>
      </c>
      <c r="C36" s="44">
        <f>IRR(D30:S30)</f>
        <v/>
      </c>
    </row>
    <row r="37">
      <c r="B37" s="43" t="inlineStr">
        <is>
          <t>Equity MOIC (Total inflow / Total outflow)</t>
        </is>
      </c>
      <c r="C37" s="45">
        <f>SUMIF(D30:S30,"&gt;0")/-SUMIF(D30:S30,"&lt;0")</f>
        <v/>
      </c>
    </row>
    <row r="38">
      <c r="B38" s="43" t="inlineStr">
        <is>
          <t>Total Equity Investment</t>
        </is>
      </c>
      <c r="C38" s="46">
        <f>-SUMIF(D14:S14,"&lt;0")</f>
        <v/>
      </c>
      <c r="D38" s="15" t="inlineStr">
        <is>
          <t>USD M</t>
        </is>
      </c>
    </row>
    <row r="39">
      <c r="B39" s="43" t="inlineStr">
        <is>
          <t>Peak DSCR proxy (EBITDA / Debt Service in year 5)</t>
        </is>
      </c>
      <c r="C39" s="45">
        <f>IFERROR('P&amp;L'!I24/-('Cashflow&amp;Returns'!I15+'Cashflow&amp;Returns'!I24),0)</f>
        <v/>
      </c>
    </row>
    <row r="41" ht="20" customHeight="1">
      <c r="B41" s="47" t="inlineStr">
        <is>
          <t>Deck Claim vs Model Output · Benchmark</t>
        </is>
      </c>
    </row>
    <row r="42">
      <c r="B42" s="13" t="inlineStr">
        <is>
          <t xml:space="preserve">  Deck IRR (unlevered, project basis)</t>
        </is>
      </c>
      <c r="C42" s="48" t="inlineStr">
        <is>
          <t>15-22%</t>
        </is>
      </c>
      <c r="D42" s="16" t="inlineStr">
        <is>
          <t>See C35 above</t>
        </is>
      </c>
    </row>
    <row r="43">
      <c r="B43" s="13" t="inlineStr">
        <is>
          <t xml:space="preserve">  Deck EBITDA margin (stabilised)</t>
        </is>
      </c>
      <c r="C43" s="48" t="inlineStr">
        <is>
          <t>55-65%</t>
        </is>
      </c>
      <c r="D43" s="16" t="inlineStr">
        <is>
          <t>See P&amp;L!W25 (stabilised year)</t>
        </is>
      </c>
    </row>
    <row r="44">
      <c r="B44" s="13" t="inlineStr">
        <is>
          <t xml:space="preserve">  Deck MOIC (5-7 year hold)</t>
        </is>
      </c>
      <c r="C44" s="48" t="inlineStr">
        <is>
          <t>2.0-3.2×</t>
        </is>
      </c>
      <c r="D44" s="16" t="inlineStr">
        <is>
          <t>See C37 above</t>
        </is>
      </c>
    </row>
    <row r="45">
      <c r="B45" s="13" t="inlineStr">
        <is>
          <t xml:space="preserve">  Deck DSCR (senior debt)</t>
        </is>
      </c>
      <c r="C45" s="48" t="inlineStr">
        <is>
          <t>&gt;1.35× (base 1.55×)</t>
        </is>
      </c>
      <c r="D45" s="16" t="inlineStr">
        <is>
          <t>See C39 above</t>
        </is>
      </c>
    </row>
    <row r="46">
      <c r="B46" s="13" t="inlineStr">
        <is>
          <t xml:space="preserve">  Deck Breakeven Utilisation</t>
        </is>
      </c>
      <c r="C46" s="48" t="inlineStr">
        <is>
          <t>~55%</t>
        </is>
      </c>
      <c r="D46" s="16" t="inlineStr">
        <is>
          <t>See sensitivity tab</t>
        </is>
      </c>
    </row>
  </sheetData>
  <mergeCells count="13">
    <mergeCell ref="B6:S6"/>
    <mergeCell ref="D42:S42"/>
    <mergeCell ref="B33:S33"/>
    <mergeCell ref="B41:S41"/>
    <mergeCell ref="D46:S46"/>
    <mergeCell ref="D45:S45"/>
    <mergeCell ref="B22:S22"/>
    <mergeCell ref="B17:S17"/>
    <mergeCell ref="B27:S27"/>
    <mergeCell ref="B1:S1"/>
    <mergeCell ref="D44:S44"/>
    <mergeCell ref="B12:S12"/>
    <mergeCell ref="D43:S4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N47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 ht="28" customHeight="1">
      <c r="B1" s="1" t="inlineStr">
        <is>
          <t>Sensitivity Analysis · Two-Way Tables   |   敏感性分析 · 二维表</t>
        </is>
      </c>
    </row>
    <row r="3">
      <c r="B3" s="49" t="inlineStr">
        <is>
          <t>TABLE 1 · Stabilised EBITDA Margin @ Ultimate 500MW</t>
        </is>
      </c>
    </row>
    <row r="4">
      <c r="B4" s="16" t="inlineStr">
        <is>
          <t>Rows = Lease rate (USD/kW/mo) · Columns = Utilisation</t>
        </is>
      </c>
    </row>
    <row r="6">
      <c r="B6" s="29" t="inlineStr">
        <is>
          <t>Lease \ Util</t>
        </is>
      </c>
      <c r="C6" s="50" t="n">
        <v>0.6</v>
      </c>
      <c r="D6" s="50" t="n">
        <v>0.7</v>
      </c>
      <c r="E6" s="50" t="n">
        <v>0.75</v>
      </c>
      <c r="F6" s="50" t="n">
        <v>0.8</v>
      </c>
      <c r="G6" s="50" t="n">
        <v>0.85</v>
      </c>
      <c r="H6" s="50" t="n">
        <v>0.9</v>
      </c>
    </row>
    <row r="7">
      <c r="B7" s="51" t="n">
        <v>90</v>
      </c>
      <c r="C7" s="52" t="n">
        <v>0.2750236728395061</v>
      </c>
      <c r="D7" s="52" t="n">
        <v>0.2896973941798941</v>
      </c>
      <c r="E7" s="52" t="n">
        <v>0.2955668827160494</v>
      </c>
      <c r="F7" s="52" t="n">
        <v>0.3007026851851852</v>
      </c>
      <c r="G7" s="52" t="n">
        <v>0.3052342755991286</v>
      </c>
      <c r="H7" s="52" t="n">
        <v>0.3092623559670782</v>
      </c>
    </row>
    <row r="8">
      <c r="B8" s="51" t="n">
        <v>100</v>
      </c>
      <c r="C8" s="52" t="n">
        <v>0.3355213055555555</v>
      </c>
      <c r="D8" s="52" t="n">
        <v>0.3487276547619047</v>
      </c>
      <c r="E8" s="52" t="n">
        <v>0.3540101944444444</v>
      </c>
      <c r="F8" s="52" t="n">
        <v>0.3586324166666666</v>
      </c>
      <c r="G8" s="52" t="n">
        <v>0.3627108480392157</v>
      </c>
      <c r="H8" s="52" t="n">
        <v>0.3663361203703704</v>
      </c>
    </row>
    <row r="9">
      <c r="B9" s="51" t="n">
        <v>110</v>
      </c>
      <c r="C9" s="52" t="n">
        <v>0.3850193686868687</v>
      </c>
      <c r="D9" s="52" t="n">
        <v>0.3970251406926407</v>
      </c>
      <c r="E9" s="52" t="n">
        <v>0.4018274494949495</v>
      </c>
      <c r="F9" s="52" t="n">
        <v>0.4060294696969696</v>
      </c>
      <c r="G9" s="52" t="n">
        <v>0.4097371345811052</v>
      </c>
      <c r="H9" s="52" t="n">
        <v>0.4130328367003367</v>
      </c>
    </row>
    <row r="10">
      <c r="B10" s="51" t="n">
        <v>120</v>
      </c>
      <c r="C10" s="52" t="n">
        <v>0.4262677546296296</v>
      </c>
      <c r="D10" s="52" t="n">
        <v>0.4372730456349205</v>
      </c>
      <c r="E10" s="52" t="n">
        <v>0.441675162037037</v>
      </c>
      <c r="F10" s="52" t="n">
        <v>0.4455270138888889</v>
      </c>
      <c r="G10" s="52" t="n">
        <v>0.4489257066993464</v>
      </c>
      <c r="H10" s="52" t="n">
        <v>0.4519467669753086</v>
      </c>
    </row>
    <row r="11">
      <c r="B11" s="51" t="n">
        <v>125</v>
      </c>
      <c r="C11" s="52" t="n">
        <v>0.4444170444444445</v>
      </c>
      <c r="D11" s="52" t="n">
        <v>0.4549821238095237</v>
      </c>
      <c r="E11" s="52" t="n">
        <v>0.4592081555555556</v>
      </c>
      <c r="F11" s="52" t="n">
        <v>0.4629059333333334</v>
      </c>
      <c r="G11" s="53" t="n">
        <v>0.4661686784313725</v>
      </c>
      <c r="H11" s="52" t="n">
        <v>0.4690688962962962</v>
      </c>
    </row>
    <row r="12">
      <c r="B12" s="51" t="n">
        <v>130</v>
      </c>
      <c r="C12" s="52" t="n">
        <v>0.4611702350427351</v>
      </c>
      <c r="D12" s="52" t="n">
        <v>0.4713289652014653</v>
      </c>
      <c r="E12" s="52" t="n">
        <v>0.4753924572649572</v>
      </c>
      <c r="F12" s="52" t="n">
        <v>0.4789480128205129</v>
      </c>
      <c r="G12" s="52" t="n">
        <v>0.4820852677224737</v>
      </c>
      <c r="H12" s="52" t="n">
        <v>0.4848739387464387</v>
      </c>
    </row>
    <row r="13">
      <c r="B13" s="51" t="n">
        <v>140</v>
      </c>
      <c r="C13" s="52" t="n">
        <v>0.4910866468253968</v>
      </c>
      <c r="D13" s="52" t="n">
        <v>0.5005197534013606</v>
      </c>
      <c r="E13" s="52" t="n">
        <v>0.504292996031746</v>
      </c>
      <c r="F13" s="52" t="n">
        <v>0.5075945833333334</v>
      </c>
      <c r="G13" s="52" t="n">
        <v>0.5105077485994398</v>
      </c>
      <c r="H13" s="52" t="n">
        <v>0.5130972288359787</v>
      </c>
    </row>
    <row r="14">
      <c r="B14" s="51" t="n">
        <v>150</v>
      </c>
      <c r="C14" s="52" t="n">
        <v>0.5170142037037038</v>
      </c>
      <c r="D14" s="52" t="n">
        <v>0.5258184365079366</v>
      </c>
      <c r="E14" s="52" t="n">
        <v>0.5293401296296296</v>
      </c>
      <c r="F14" s="52" t="n">
        <v>0.532421611111111</v>
      </c>
      <c r="G14" s="52" t="n">
        <v>0.535140565359477</v>
      </c>
      <c r="H14" s="52" t="n">
        <v>0.5375574135802469</v>
      </c>
    </row>
    <row r="18">
      <c r="B18" s="49" t="inlineStr">
        <is>
          <t>TABLE 2 · Approx Levered Equity Yield @ Stabilised Operation</t>
        </is>
      </c>
    </row>
    <row r="19">
      <c r="B19" s="16" t="inlineStr">
        <is>
          <t>Rows = CAPEX intensity (USD M/MW) · Columns = Senior debt rate</t>
        </is>
      </c>
    </row>
    <row r="21">
      <c r="B21" s="29" t="inlineStr">
        <is>
          <t>CAPEX \ Debt</t>
        </is>
      </c>
      <c r="C21" s="54" t="n">
        <v>0.05</v>
      </c>
      <c r="D21" s="54" t="n">
        <v>0.055</v>
      </c>
      <c r="E21" s="54" t="n">
        <v>0.06</v>
      </c>
      <c r="F21" s="54" t="n">
        <v>0.065</v>
      </c>
      <c r="G21" s="54" t="n">
        <v>0.07000000000000001</v>
      </c>
      <c r="H21" s="54" t="n">
        <v>0.075</v>
      </c>
      <c r="I21" s="54" t="n">
        <v>0.08</v>
      </c>
    </row>
    <row r="22">
      <c r="B22" s="55" t="n">
        <v>7</v>
      </c>
      <c r="C22" s="52" t="n">
        <v>0.1835714285714286</v>
      </c>
      <c r="D22" s="52" t="n">
        <v>0.1770714285714286</v>
      </c>
      <c r="E22" s="52" t="n">
        <v>0.1705714285714286</v>
      </c>
      <c r="F22" s="52" t="n">
        <v>0.1640714285714286</v>
      </c>
      <c r="G22" s="52" t="n">
        <v>0.1575714285714286</v>
      </c>
      <c r="H22" s="52" t="n">
        <v>0.1510714285714286</v>
      </c>
      <c r="I22" s="52" t="n">
        <v>0.1445714285714286</v>
      </c>
    </row>
    <row r="23">
      <c r="B23" s="55" t="n">
        <v>8</v>
      </c>
      <c r="C23" s="52" t="n">
        <v>0.15625</v>
      </c>
      <c r="D23" s="52" t="n">
        <v>0.14975</v>
      </c>
      <c r="E23" s="52" t="n">
        <v>0.14325</v>
      </c>
      <c r="F23" s="53" t="n">
        <v>0.13675</v>
      </c>
      <c r="G23" s="52" t="n">
        <v>0.13025</v>
      </c>
      <c r="H23" s="52" t="n">
        <v>0.12375</v>
      </c>
      <c r="I23" s="52" t="n">
        <v>0.11725</v>
      </c>
    </row>
    <row r="24">
      <c r="B24" s="55" t="n">
        <v>9</v>
      </c>
      <c r="C24" s="52" t="n">
        <v>0.135</v>
      </c>
      <c r="D24" s="52" t="n">
        <v>0.1285</v>
      </c>
      <c r="E24" s="52" t="n">
        <v>0.122</v>
      </c>
      <c r="F24" s="52" t="n">
        <v>0.1155</v>
      </c>
      <c r="G24" s="52" t="n">
        <v>0.109</v>
      </c>
      <c r="H24" s="52" t="n">
        <v>0.1025</v>
      </c>
      <c r="I24" s="52" t="n">
        <v>0.09599999999999999</v>
      </c>
    </row>
    <row r="25">
      <c r="B25" s="55" t="n">
        <v>10</v>
      </c>
      <c r="C25" s="52" t="n">
        <v>0.118</v>
      </c>
      <c r="D25" s="52" t="n">
        <v>0.1115</v>
      </c>
      <c r="E25" s="52" t="n">
        <v>0.105</v>
      </c>
      <c r="F25" s="52" t="n">
        <v>0.09849999999999999</v>
      </c>
      <c r="G25" s="52" t="n">
        <v>0.09199999999999998</v>
      </c>
      <c r="H25" s="52" t="n">
        <v>0.08549999999999999</v>
      </c>
      <c r="I25" s="52" t="n">
        <v>0.079</v>
      </c>
    </row>
    <row r="26">
      <c r="B26" s="55" t="n">
        <v>11</v>
      </c>
      <c r="C26" s="52" t="n">
        <v>0.1040909090909091</v>
      </c>
      <c r="D26" s="52" t="n">
        <v>0.09759090909090909</v>
      </c>
      <c r="E26" s="52" t="n">
        <v>0.0910909090909091</v>
      </c>
      <c r="F26" s="52" t="n">
        <v>0.08459090909090909</v>
      </c>
      <c r="G26" s="52" t="n">
        <v>0.07809090909090907</v>
      </c>
      <c r="H26" s="52" t="n">
        <v>0.07159090909090909</v>
      </c>
      <c r="I26" s="52" t="n">
        <v>0.06509090909090909</v>
      </c>
    </row>
    <row r="27">
      <c r="B27" s="55" t="n">
        <v>12</v>
      </c>
      <c r="C27" s="52" t="n">
        <v>0.0925</v>
      </c>
      <c r="D27" s="52" t="n">
        <v>0.08599999999999999</v>
      </c>
      <c r="E27" s="52" t="n">
        <v>0.07949999999999999</v>
      </c>
      <c r="F27" s="52" t="n">
        <v>0.073</v>
      </c>
      <c r="G27" s="52" t="n">
        <v>0.0665</v>
      </c>
      <c r="H27" s="52" t="n">
        <v>0.06</v>
      </c>
      <c r="I27" s="52" t="n">
        <v>0.05349999999999999</v>
      </c>
    </row>
    <row r="28">
      <c r="B28" s="55" t="n">
        <v>13</v>
      </c>
      <c r="C28" s="52" t="n">
        <v>0.08269230769230768</v>
      </c>
      <c r="D28" s="52" t="n">
        <v>0.07619230769230768</v>
      </c>
      <c r="E28" s="52" t="n">
        <v>0.06969230769230769</v>
      </c>
      <c r="F28" s="52" t="n">
        <v>0.06319230769230769</v>
      </c>
      <c r="G28" s="52" t="n">
        <v>0.05669230769230769</v>
      </c>
      <c r="H28" s="52" t="n">
        <v>0.05019230769230769</v>
      </c>
      <c r="I28" s="52" t="n">
        <v>0.04369230769230769</v>
      </c>
    </row>
    <row r="29">
      <c r="B29" s="55" t="n">
        <v>14</v>
      </c>
      <c r="C29" s="52" t="n">
        <v>0.07428571428571429</v>
      </c>
      <c r="D29" s="52" t="n">
        <v>0.06778571428571428</v>
      </c>
      <c r="E29" s="52" t="n">
        <v>0.06128571428571428</v>
      </c>
      <c r="F29" s="52" t="n">
        <v>0.05478571428571428</v>
      </c>
      <c r="G29" s="52" t="n">
        <v>0.04828571428571427</v>
      </c>
      <c r="H29" s="52" t="n">
        <v>0.04178571428571429</v>
      </c>
      <c r="I29" s="52" t="n">
        <v>0.03528571428571428</v>
      </c>
    </row>
    <row r="34">
      <c r="B34" s="49" t="inlineStr">
        <is>
          <t>TABLE 3 · Break-even Utilisation by Lease Rate (500MW stabilised)</t>
        </is>
      </c>
    </row>
    <row r="35">
      <c r="B35" s="16" t="inlineStr">
        <is>
          <t>Utilisation required to cover OPEX only (EBITDA = 0)</t>
        </is>
      </c>
    </row>
    <row r="37">
      <c r="B37" s="29" t="inlineStr">
        <is>
          <t>Lease rate</t>
        </is>
      </c>
      <c r="C37" s="29" t="inlineStr">
        <is>
          <t>Break-even Util</t>
        </is>
      </c>
      <c r="D37" s="29" t="inlineStr">
        <is>
          <t>Comment</t>
        </is>
      </c>
    </row>
    <row r="38">
      <c r="B38" s="51" t="n">
        <v>90</v>
      </c>
      <c r="C38" s="52" t="n">
        <v>0.1631536902369332</v>
      </c>
      <c r="D38" s="56" t="inlineStr"/>
    </row>
    <row r="39">
      <c r="B39" s="51" t="n">
        <v>100</v>
      </c>
      <c r="C39" s="52" t="n">
        <v>0.1296053870354501</v>
      </c>
      <c r="D39" s="56" t="inlineStr"/>
    </row>
    <row r="40">
      <c r="B40" s="51" t="n">
        <v>110</v>
      </c>
      <c r="C40" s="52" t="n">
        <v>0.1075006755131841</v>
      </c>
      <c r="D40" s="56" t="inlineStr"/>
    </row>
    <row r="41">
      <c r="B41" s="51" t="n">
        <v>120</v>
      </c>
      <c r="C41" s="52" t="n">
        <v>0.09183743724982198</v>
      </c>
      <c r="D41" s="56" t="inlineStr"/>
    </row>
    <row r="42">
      <c r="B42" s="51" t="n">
        <v>125</v>
      </c>
      <c r="C42" s="53" t="n">
        <v>0.08560123226677747</v>
      </c>
      <c r="D42" s="57" t="inlineStr">
        <is>
          <t>← Deck mid-point (Deck claims ~55% breakeven)</t>
        </is>
      </c>
    </row>
    <row r="43">
      <c r="B43" s="51" t="n">
        <v>130</v>
      </c>
      <c r="C43" s="52" t="n">
        <v>0.08015810994498886</v>
      </c>
      <c r="D43" s="56" t="inlineStr"/>
    </row>
    <row r="44">
      <c r="B44" s="51" t="n">
        <v>140</v>
      </c>
      <c r="C44" s="52" t="n">
        <v>0.07111423375534973</v>
      </c>
      <c r="D44" s="56" t="inlineStr"/>
    </row>
    <row r="47" ht="30" customHeight="1">
      <c r="B47" s="58" t="inlineStr">
        <is>
          <t>⚠ Sensitivity tables use closed-form approximations (not live-linked to Assumptions). For scenario runs on the full model, edit inputs on the Assumptions sheet.</t>
        </is>
      </c>
    </row>
  </sheetData>
  <mergeCells count="10">
    <mergeCell ref="D42:F42"/>
    <mergeCell ref="D38:F38"/>
    <mergeCell ref="D37:F37"/>
    <mergeCell ref="B1:N1"/>
    <mergeCell ref="D41:F41"/>
    <mergeCell ref="D40:F40"/>
    <mergeCell ref="D44:F44"/>
    <mergeCell ref="D39:F39"/>
    <mergeCell ref="B47:N47"/>
    <mergeCell ref="D43:F43"/>
  </mergeCells>
  <conditionalFormatting sqref="C7:H14">
    <cfRule type="colorScale" priority="1">
      <colorScale>
        <cfvo type="num" val="0.3"/>
        <cfvo type="num" val="0.5"/>
        <cfvo type="num" val="0.7"/>
        <color rgb="00FEE2E2"/>
        <color rgb="00FEF3C7"/>
        <color rgb="00D1FAE5"/>
      </colorScale>
    </cfRule>
  </conditionalFormatting>
  <conditionalFormatting sqref="C22:I29">
    <cfRule type="colorScale" priority="2">
      <colorScale>
        <cfvo type="num" val="0.05"/>
        <cfvo type="num" val="0.18"/>
        <cfvo type="num" val="0.3"/>
        <color rgb="00FEE2E2"/>
        <color rgb="00FEF3C7"/>
        <color rgb="00D1FAE5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2026-07-27T09:52:09Z</dcterms:created>
  <dcterms:modified xmlns:dcterms="http://purl.org/dc/terms/" xmlns:xsi="http://www.w3.org/2001/XMLSchema-instance" xsi:type="dcterms:W3CDTF">2026-07-27T09:52:09Z</dcterms:modified>
</cp:coreProperties>
</file>